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4050" yWindow="0" windowWidth="14025" windowHeight="8745" tabRatio="681"/>
  </bookViews>
  <sheets>
    <sheet name="Graphs" sheetId="2" r:id="rId1"/>
    <sheet name="Rev and Major Expenditures" sheetId="12" r:id="rId2"/>
    <sheet name="GenFund Statement" sheetId="1" r:id="rId3"/>
    <sheet name="Detailed Expenditures" sheetId="8" r:id="rId4"/>
    <sheet name="Old vs New accounts" sheetId="4" r:id="rId5"/>
    <sheet name="Employee Count" sheetId="16" r:id="rId6"/>
    <sheet name="BPOL" sheetId="17" r:id="rId7"/>
    <sheet name="Assessments" sheetId="18" r:id="rId8"/>
    <sheet name="Demographics" sheetId="19" r:id="rId9"/>
  </sheets>
  <externalReferences>
    <externalReference r:id="rId10"/>
    <externalReference r:id="rId11"/>
    <externalReference r:id="rId12"/>
    <externalReference r:id="rId13"/>
    <externalReference r:id="rId14"/>
  </externalReferences>
  <calcPr calcId="125725"/>
</workbook>
</file>

<file path=xl/calcChain.xml><?xml version="1.0" encoding="utf-8"?>
<calcChain xmlns="http://schemas.openxmlformats.org/spreadsheetml/2006/main">
  <c r="D92" i="16"/>
  <c r="C92"/>
  <c r="B92"/>
  <c r="F69"/>
  <c r="E69"/>
  <c r="D69"/>
  <c r="C69"/>
  <c r="B69"/>
  <c r="F30"/>
  <c r="E30"/>
  <c r="D30"/>
  <c r="C30"/>
  <c r="B30"/>
  <c r="F24"/>
  <c r="E24"/>
  <c r="D24"/>
  <c r="C24"/>
  <c r="B24"/>
  <c r="F7"/>
  <c r="F85" s="1"/>
  <c r="F87" s="1"/>
  <c r="E7"/>
  <c r="E85" s="1"/>
  <c r="E87" s="1"/>
  <c r="D7"/>
  <c r="D85" s="1"/>
  <c r="D87" s="1"/>
  <c r="C7"/>
  <c r="C85" s="1"/>
  <c r="C87" s="1"/>
  <c r="B7"/>
  <c r="B85" s="1"/>
  <c r="B87" s="1"/>
  <c r="I5"/>
  <c r="J5" s="1"/>
  <c r="K5" s="1"/>
  <c r="L5" s="1"/>
  <c r="M5" s="1"/>
  <c r="N5" s="1"/>
  <c r="O5" s="1"/>
  <c r="P5" s="1"/>
  <c r="Q5" s="1"/>
  <c r="R5" s="1"/>
  <c r="S5" s="1"/>
  <c r="T5" s="1"/>
  <c r="U5" s="1"/>
  <c r="H5"/>
  <c r="D5" i="12"/>
  <c r="E5"/>
  <c r="F5"/>
  <c r="G5"/>
  <c r="H5"/>
  <c r="I5"/>
  <c r="J5"/>
  <c r="K5"/>
  <c r="D19"/>
  <c r="E19"/>
  <c r="F19"/>
  <c r="G19"/>
  <c r="H19"/>
  <c r="I19"/>
  <c r="J19"/>
  <c r="K19"/>
  <c r="J74"/>
  <c r="K74"/>
  <c r="C47" i="18" l="1"/>
  <c r="D47"/>
  <c r="E47"/>
  <c r="A23" i="12" l="1"/>
  <c r="E25" i="2" s="1"/>
  <c r="B79" i="19"/>
  <c r="B78"/>
  <c r="M82" i="2"/>
  <c r="M79"/>
  <c r="A200" i="8"/>
  <c r="A268"/>
  <c r="A266"/>
  <c r="A265"/>
  <c r="A264"/>
  <c r="A263"/>
  <c r="A262"/>
  <c r="A260"/>
  <c r="A259"/>
  <c r="A258"/>
  <c r="A257"/>
  <c r="A256"/>
  <c r="A255"/>
  <c r="A254"/>
  <c r="A253"/>
  <c r="A252"/>
  <c r="A251"/>
  <c r="A250"/>
  <c r="A248"/>
  <c r="A247"/>
  <c r="A246"/>
  <c r="A245"/>
  <c r="A244"/>
  <c r="A243"/>
  <c r="A241"/>
  <c r="A240"/>
  <c r="A239"/>
  <c r="A238"/>
  <c r="A237"/>
  <c r="A236"/>
  <c r="A235"/>
  <c r="A234"/>
  <c r="A232"/>
  <c r="A230"/>
  <c r="A229"/>
  <c r="A228"/>
  <c r="A227"/>
  <c r="A226"/>
  <c r="A225"/>
  <c r="A224"/>
  <c r="A223"/>
  <c r="A222"/>
  <c r="A221"/>
  <c r="A219"/>
  <c r="A218"/>
  <c r="A217"/>
  <c r="A216"/>
  <c r="A215"/>
  <c r="A214"/>
  <c r="A213"/>
  <c r="A212"/>
  <c r="A211"/>
  <c r="A210"/>
  <c r="A209"/>
  <c r="A208"/>
  <c r="A207"/>
  <c r="A205"/>
  <c r="A204"/>
  <c r="A203"/>
  <c r="A202"/>
  <c r="A201"/>
  <c r="A198"/>
  <c r="A197"/>
  <c r="A196"/>
  <c r="A195"/>
  <c r="A194"/>
  <c r="A193"/>
  <c r="A192"/>
  <c r="A191"/>
  <c r="A190"/>
  <c r="A189"/>
  <c r="A188"/>
  <c r="A187"/>
  <c r="A186"/>
  <c r="A185"/>
  <c r="A184"/>
  <c r="A183"/>
  <c r="C22" i="18"/>
  <c r="C12"/>
  <c r="D12"/>
  <c r="E68" i="12"/>
  <c r="E67"/>
  <c r="G67"/>
  <c r="G68" s="1"/>
  <c r="I67"/>
  <c r="D46" l="1"/>
  <c r="D45"/>
  <c r="D44"/>
  <c r="D43"/>
  <c r="D42"/>
  <c r="D41"/>
  <c r="D40"/>
  <c r="D39"/>
  <c r="D38"/>
  <c r="D37"/>
  <c r="D36"/>
  <c r="D35"/>
  <c r="D34"/>
  <c r="E46"/>
  <c r="E45"/>
  <c r="E44"/>
  <c r="E43"/>
  <c r="E42"/>
  <c r="E41"/>
  <c r="E40"/>
  <c r="E39"/>
  <c r="E38"/>
  <c r="E37"/>
  <c r="E36"/>
  <c r="E35"/>
  <c r="E34"/>
  <c r="F46"/>
  <c r="F45"/>
  <c r="F44"/>
  <c r="F43"/>
  <c r="F42"/>
  <c r="F41"/>
  <c r="F40"/>
  <c r="F39"/>
  <c r="F38"/>
  <c r="F37"/>
  <c r="F36"/>
  <c r="F35"/>
  <c r="F34"/>
  <c r="G46"/>
  <c r="G45"/>
  <c r="G44"/>
  <c r="G43"/>
  <c r="G42"/>
  <c r="G41"/>
  <c r="G39"/>
  <c r="G38"/>
  <c r="G37"/>
  <c r="G36"/>
  <c r="G35"/>
  <c r="H46"/>
  <c r="H45"/>
  <c r="H44"/>
  <c r="H43"/>
  <c r="H42"/>
  <c r="H41"/>
  <c r="H40"/>
  <c r="H39"/>
  <c r="H38"/>
  <c r="H37"/>
  <c r="H36"/>
  <c r="H35"/>
  <c r="H34"/>
  <c r="D32"/>
  <c r="E32"/>
  <c r="F32"/>
  <c r="G32"/>
  <c r="H32"/>
  <c r="M26" i="2"/>
  <c r="M25"/>
  <c r="M24"/>
  <c r="M23"/>
  <c r="E77" i="19"/>
  <c r="B77"/>
  <c r="D77" s="1"/>
  <c r="C78"/>
  <c r="D68" i="12"/>
  <c r="D67"/>
  <c r="F68"/>
  <c r="F67"/>
  <c r="F47" l="1"/>
  <c r="D47"/>
  <c r="H47"/>
  <c r="E47"/>
  <c r="H85"/>
  <c r="G85"/>
  <c r="E85"/>
  <c r="D85"/>
  <c r="B14" i="19"/>
  <c r="C14"/>
  <c r="D79" i="12"/>
  <c r="E79"/>
  <c r="F79"/>
  <c r="G79"/>
  <c r="E12" i="19"/>
  <c r="B8"/>
  <c r="I92" i="8"/>
  <c r="H92"/>
  <c r="G92"/>
  <c r="F92"/>
  <c r="E92"/>
  <c r="D92"/>
  <c r="C92"/>
  <c r="I91"/>
  <c r="H91"/>
  <c r="G91"/>
  <c r="F91"/>
  <c r="E91"/>
  <c r="D91"/>
  <c r="C91"/>
  <c r="G127" i="1"/>
  <c r="G106"/>
  <c r="G104"/>
  <c r="G45"/>
  <c r="G47" s="1"/>
  <c r="G19"/>
  <c r="D127"/>
  <c r="E127"/>
  <c r="D104"/>
  <c r="D106" s="1"/>
  <c r="E104"/>
  <c r="E106" s="1"/>
  <c r="C71"/>
  <c r="D56"/>
  <c r="E56"/>
  <c r="E19"/>
  <c r="C83" i="8"/>
  <c r="F83"/>
  <c r="D83"/>
  <c r="C78"/>
  <c r="F78"/>
  <c r="D78"/>
  <c r="C67"/>
  <c r="F67"/>
  <c r="D67"/>
  <c r="C61"/>
  <c r="F61"/>
  <c r="D61"/>
  <c r="C51"/>
  <c r="F51"/>
  <c r="D51"/>
  <c r="C41"/>
  <c r="F41"/>
  <c r="D41"/>
  <c r="F28"/>
  <c r="C28"/>
  <c r="D28"/>
  <c r="C22"/>
  <c r="F22"/>
  <c r="D22"/>
  <c r="D79" i="19"/>
  <c r="D78"/>
  <c r="D76"/>
  <c r="D75"/>
  <c r="D74"/>
  <c r="D73"/>
  <c r="D72"/>
  <c r="D71"/>
  <c r="D70"/>
  <c r="D69"/>
  <c r="D68"/>
  <c r="D67"/>
  <c r="D66"/>
  <c r="D65"/>
  <c r="D64"/>
  <c r="D63"/>
  <c r="D62"/>
  <c r="D61"/>
  <c r="D60"/>
  <c r="D59"/>
  <c r="D58"/>
  <c r="D57"/>
  <c r="D56"/>
  <c r="D55"/>
  <c r="D54"/>
  <c r="D53"/>
  <c r="D52"/>
  <c r="D51"/>
  <c r="D50"/>
  <c r="D49"/>
  <c r="D48"/>
  <c r="D47"/>
  <c r="D46"/>
  <c r="D45"/>
  <c r="D44"/>
  <c r="D43"/>
  <c r="G34" i="12" l="1"/>
  <c r="G40"/>
  <c r="G108" i="1"/>
  <c r="G129" s="1"/>
  <c r="D19"/>
  <c r="D47" s="1"/>
  <c r="D108" s="1"/>
  <c r="D129" s="1"/>
  <c r="E45"/>
  <c r="E47" s="1"/>
  <c r="E108" s="1"/>
  <c r="E129" s="1"/>
  <c r="D45"/>
  <c r="C84" i="8"/>
  <c r="F84"/>
  <c r="D84"/>
  <c r="G47" i="12" l="1"/>
  <c r="G56" i="1"/>
  <c r="T13" i="19"/>
  <c r="S13"/>
  <c r="R13"/>
  <c r="Q13"/>
  <c r="P13"/>
  <c r="O13"/>
  <c r="N13"/>
  <c r="M13"/>
  <c r="L13"/>
  <c r="K13"/>
  <c r="J13"/>
  <c r="I13"/>
  <c r="H13"/>
  <c r="G13"/>
  <c r="E13"/>
  <c r="D10"/>
  <c r="E8"/>
  <c r="D8"/>
  <c r="S44" i="18" l="1"/>
  <c r="R44" s="1"/>
  <c r="Q44" s="1"/>
  <c r="P44" s="1"/>
  <c r="O44" s="1"/>
  <c r="N44" s="1"/>
  <c r="M44" s="1"/>
  <c r="L44" s="1"/>
  <c r="K44" s="1"/>
  <c r="J44" s="1"/>
  <c r="I44" s="1"/>
  <c r="H44" s="1"/>
  <c r="G44" s="1"/>
  <c r="F44" s="1"/>
  <c r="E44" s="1"/>
  <c r="D44" s="1"/>
  <c r="C44" s="1"/>
  <c r="S43"/>
  <c r="R43" s="1"/>
  <c r="Q43" s="1"/>
  <c r="P43" s="1"/>
  <c r="O43" s="1"/>
  <c r="N43" s="1"/>
  <c r="M43" s="1"/>
  <c r="L43" s="1"/>
  <c r="K43" s="1"/>
  <c r="J43" s="1"/>
  <c r="I43" s="1"/>
  <c r="H43" s="1"/>
  <c r="G43" s="1"/>
  <c r="F43" s="1"/>
  <c r="E43" s="1"/>
  <c r="D43" s="1"/>
  <c r="C43" s="1"/>
  <c r="S42"/>
  <c r="R42" s="1"/>
  <c r="Q42" s="1"/>
  <c r="P42" s="1"/>
  <c r="O42" s="1"/>
  <c r="N42" s="1"/>
  <c r="M42" s="1"/>
  <c r="L42" s="1"/>
  <c r="K42" s="1"/>
  <c r="J42" s="1"/>
  <c r="I42" s="1"/>
  <c r="H42" s="1"/>
  <c r="G42" s="1"/>
  <c r="F42" s="1"/>
  <c r="E42" s="1"/>
  <c r="D42" s="1"/>
  <c r="C42" s="1"/>
  <c r="S41"/>
  <c r="R41" s="1"/>
  <c r="Q41" s="1"/>
  <c r="P41" s="1"/>
  <c r="O41" s="1"/>
  <c r="N41" s="1"/>
  <c r="M41" s="1"/>
  <c r="L41" s="1"/>
  <c r="K41" s="1"/>
  <c r="J41" s="1"/>
  <c r="I41" s="1"/>
  <c r="H41" s="1"/>
  <c r="G41" s="1"/>
  <c r="F41" s="1"/>
  <c r="E41" s="1"/>
  <c r="D41" s="1"/>
  <c r="C41" s="1"/>
  <c r="S40"/>
  <c r="R40" s="1"/>
  <c r="Q40" s="1"/>
  <c r="P40" s="1"/>
  <c r="O40" s="1"/>
  <c r="N40" s="1"/>
  <c r="M40" s="1"/>
  <c r="L40" s="1"/>
  <c r="K40" s="1"/>
  <c r="J40" s="1"/>
  <c r="I40" s="1"/>
  <c r="H40" s="1"/>
  <c r="G40" s="1"/>
  <c r="F40" s="1"/>
  <c r="E40" s="1"/>
  <c r="D40" s="1"/>
  <c r="C40" s="1"/>
  <c r="S39"/>
  <c r="R39" s="1"/>
  <c r="Q39" s="1"/>
  <c r="P39" s="1"/>
  <c r="O39" s="1"/>
  <c r="N39" s="1"/>
  <c r="M39" s="1"/>
  <c r="L39" s="1"/>
  <c r="K39" s="1"/>
  <c r="J39" s="1"/>
  <c r="I39" s="1"/>
  <c r="H39" s="1"/>
  <c r="G39" s="1"/>
  <c r="F39" s="1"/>
  <c r="E39" s="1"/>
  <c r="D39" s="1"/>
  <c r="C39" s="1"/>
  <c r="S38"/>
  <c r="R38" s="1"/>
  <c r="Q38" s="1"/>
  <c r="P38" s="1"/>
  <c r="O38" s="1"/>
  <c r="N38" s="1"/>
  <c r="M38" s="1"/>
  <c r="L38" s="1"/>
  <c r="K38" s="1"/>
  <c r="J38" s="1"/>
  <c r="I38" s="1"/>
  <c r="H38" s="1"/>
  <c r="G38" s="1"/>
  <c r="F38" s="1"/>
  <c r="E38" s="1"/>
  <c r="D38" s="1"/>
  <c r="C38" s="1"/>
  <c r="S37"/>
  <c r="R37" s="1"/>
  <c r="Q37" s="1"/>
  <c r="P37" s="1"/>
  <c r="O37" s="1"/>
  <c r="N37" s="1"/>
  <c r="M37" s="1"/>
  <c r="L37" s="1"/>
  <c r="K37" s="1"/>
  <c r="J37" s="1"/>
  <c r="I37" s="1"/>
  <c r="H37" s="1"/>
  <c r="G37" s="1"/>
  <c r="F37" s="1"/>
  <c r="E37" s="1"/>
  <c r="D37" s="1"/>
  <c r="C37" s="1"/>
  <c r="S36"/>
  <c r="R36" s="1"/>
  <c r="Q36" s="1"/>
  <c r="P36" s="1"/>
  <c r="O36" s="1"/>
  <c r="N36" s="1"/>
  <c r="M36" s="1"/>
  <c r="L36" s="1"/>
  <c r="K36" s="1"/>
  <c r="J36" s="1"/>
  <c r="I36" s="1"/>
  <c r="H36" s="1"/>
  <c r="G36" s="1"/>
  <c r="F36" s="1"/>
  <c r="E36" s="1"/>
  <c r="D36" s="1"/>
  <c r="C36" s="1"/>
  <c r="S35"/>
  <c r="R35" s="1"/>
  <c r="Q35" s="1"/>
  <c r="P35" s="1"/>
  <c r="O35" s="1"/>
  <c r="N35" s="1"/>
  <c r="M35" s="1"/>
  <c r="L35" s="1"/>
  <c r="K35" s="1"/>
  <c r="J35" s="1"/>
  <c r="I35" s="1"/>
  <c r="H35" s="1"/>
  <c r="G35" s="1"/>
  <c r="F35" s="1"/>
  <c r="E35" s="1"/>
  <c r="D35" s="1"/>
  <c r="C35" s="1"/>
  <c r="B32"/>
  <c r="S18"/>
  <c r="R18" s="1"/>
  <c r="Q18" s="1"/>
  <c r="P18" s="1"/>
  <c r="O18" s="1"/>
  <c r="N18" s="1"/>
  <c r="M18" s="1"/>
  <c r="L18" s="1"/>
  <c r="K18" s="1"/>
  <c r="J18" s="1"/>
  <c r="I18" s="1"/>
  <c r="H18" s="1"/>
  <c r="G18" s="1"/>
  <c r="F18" s="1"/>
  <c r="E18" s="1"/>
  <c r="D18" s="1"/>
  <c r="C18" s="1"/>
  <c r="S17"/>
  <c r="R17" s="1"/>
  <c r="Q17" s="1"/>
  <c r="P17" s="1"/>
  <c r="O17" s="1"/>
  <c r="N17" s="1"/>
  <c r="M17" s="1"/>
  <c r="L17" s="1"/>
  <c r="K17" s="1"/>
  <c r="J17" s="1"/>
  <c r="I17" s="1"/>
  <c r="H17" s="1"/>
  <c r="G17" s="1"/>
  <c r="F17" s="1"/>
  <c r="E17" s="1"/>
  <c r="D17" s="1"/>
  <c r="C17" s="1"/>
  <c r="S16"/>
  <c r="R16" s="1"/>
  <c r="Q16" s="1"/>
  <c r="P16" s="1"/>
  <c r="O16" s="1"/>
  <c r="N16" s="1"/>
  <c r="M16" s="1"/>
  <c r="L16" s="1"/>
  <c r="K16" s="1"/>
  <c r="J16" s="1"/>
  <c r="I16" s="1"/>
  <c r="H16" s="1"/>
  <c r="G16" s="1"/>
  <c r="F16" s="1"/>
  <c r="E16" s="1"/>
  <c r="D16" s="1"/>
  <c r="C16" s="1"/>
  <c r="S15"/>
  <c r="R15" s="1"/>
  <c r="Q15" s="1"/>
  <c r="P15" s="1"/>
  <c r="O15" s="1"/>
  <c r="N15" s="1"/>
  <c r="M15" s="1"/>
  <c r="L15" s="1"/>
  <c r="K15" s="1"/>
  <c r="J15" s="1"/>
  <c r="I15" s="1"/>
  <c r="H15" s="1"/>
  <c r="G15" s="1"/>
  <c r="F15" s="1"/>
  <c r="E15" s="1"/>
  <c r="D15" s="1"/>
  <c r="C15" s="1"/>
  <c r="S14"/>
  <c r="R14" s="1"/>
  <c r="Q14" s="1"/>
  <c r="P14" s="1"/>
  <c r="O14" s="1"/>
  <c r="N14" s="1"/>
  <c r="M14" s="1"/>
  <c r="L14" s="1"/>
  <c r="K14" s="1"/>
  <c r="J14" s="1"/>
  <c r="I14" s="1"/>
  <c r="H14" s="1"/>
  <c r="G14" s="1"/>
  <c r="F14" s="1"/>
  <c r="E14" s="1"/>
  <c r="D14" s="1"/>
  <c r="C14" s="1"/>
  <c r="S13"/>
  <c r="R13" s="1"/>
  <c r="Q13" s="1"/>
  <c r="P13" s="1"/>
  <c r="O13" s="1"/>
  <c r="N13" s="1"/>
  <c r="M13" s="1"/>
  <c r="L13" s="1"/>
  <c r="K13" s="1"/>
  <c r="J13" s="1"/>
  <c r="I13" s="1"/>
  <c r="H13" s="1"/>
  <c r="G13" s="1"/>
  <c r="F13" s="1"/>
  <c r="AD127" i="1"/>
  <c r="AC127"/>
  <c r="AB127"/>
  <c r="Z127"/>
  <c r="Y127"/>
  <c r="X127"/>
  <c r="W127"/>
  <c r="V127"/>
  <c r="U127"/>
  <c r="T127"/>
  <c r="S127"/>
  <c r="R127"/>
  <c r="Q127"/>
  <c r="P127"/>
  <c r="O127"/>
  <c r="N127"/>
  <c r="M127"/>
  <c r="L127"/>
  <c r="K127"/>
  <c r="J127"/>
  <c r="I127"/>
  <c r="H127"/>
  <c r="F127"/>
  <c r="F3" i="12"/>
  <c r="I75"/>
  <c r="L74"/>
  <c r="L75" s="1"/>
  <c r="K104" i="1"/>
  <c r="J104"/>
  <c r="I104"/>
  <c r="H104"/>
  <c r="F104"/>
  <c r="J55"/>
  <c r="I55"/>
  <c r="H55"/>
  <c r="F55"/>
  <c r="J45"/>
  <c r="I45"/>
  <c r="H45"/>
  <c r="F45"/>
  <c r="J19"/>
  <c r="I19"/>
  <c r="H19"/>
  <c r="F19"/>
  <c r="I83" i="8"/>
  <c r="H83"/>
  <c r="G83"/>
  <c r="E83"/>
  <c r="I78"/>
  <c r="H78"/>
  <c r="G78"/>
  <c r="E78"/>
  <c r="I67"/>
  <c r="H67"/>
  <c r="G67"/>
  <c r="E67"/>
  <c r="I61"/>
  <c r="H61"/>
  <c r="G61"/>
  <c r="E61"/>
  <c r="I51"/>
  <c r="H51"/>
  <c r="G51"/>
  <c r="E51"/>
  <c r="I41"/>
  <c r="H41"/>
  <c r="G41"/>
  <c r="E41"/>
  <c r="I28"/>
  <c r="J40" i="12" s="1"/>
  <c r="H28" i="8"/>
  <c r="G28"/>
  <c r="E28"/>
  <c r="I22"/>
  <c r="J34" i="12" s="1"/>
  <c r="H22" i="8"/>
  <c r="I34" i="12" s="1"/>
  <c r="G22" i="8"/>
  <c r="E22"/>
  <c r="F85" i="12"/>
  <c r="I85"/>
  <c r="J85"/>
  <c r="J106" i="1"/>
  <c r="F14" i="19" s="1"/>
  <c r="G15" s="1"/>
  <c r="G24" s="1"/>
  <c r="G25" s="1"/>
  <c r="E84" i="8"/>
  <c r="F56" i="1" s="1"/>
  <c r="H79" i="12"/>
  <c r="I79"/>
  <c r="J79"/>
  <c r="H67"/>
  <c r="H68" s="1"/>
  <c r="H70" s="1"/>
  <c r="J46"/>
  <c r="I46"/>
  <c r="J45"/>
  <c r="I45"/>
  <c r="J44"/>
  <c r="I44"/>
  <c r="J43"/>
  <c r="I43"/>
  <c r="J42"/>
  <c r="I42"/>
  <c r="J41"/>
  <c r="I41"/>
  <c r="I40"/>
  <c r="J39"/>
  <c r="I39"/>
  <c r="J38"/>
  <c r="I38"/>
  <c r="J37"/>
  <c r="I37"/>
  <c r="J36"/>
  <c r="I36"/>
  <c r="J35"/>
  <c r="I35"/>
  <c r="I24"/>
  <c r="J3"/>
  <c r="AB19" i="1"/>
  <c r="AB45"/>
  <c r="AB47" s="1"/>
  <c r="AB55"/>
  <c r="AB104"/>
  <c r="J6" i="12"/>
  <c r="I3" i="8"/>
  <c r="J7" i="12"/>
  <c r="I9"/>
  <c r="I13"/>
  <c r="J25"/>
  <c r="I21"/>
  <c r="I25"/>
  <c r="J14"/>
  <c r="I8"/>
  <c r="I12"/>
  <c r="J20"/>
  <c r="J24"/>
  <c r="I20"/>
  <c r="I2" i="1"/>
  <c r="D5" i="17" s="1"/>
  <c r="I73" i="12"/>
  <c r="J13"/>
  <c r="I7"/>
  <c r="I11"/>
  <c r="I15"/>
  <c r="J23"/>
  <c r="J27"/>
  <c r="I23"/>
  <c r="I27"/>
  <c r="I6"/>
  <c r="I10"/>
  <c r="I14"/>
  <c r="J22"/>
  <c r="J26"/>
  <c r="I22"/>
  <c r="I26"/>
  <c r="H69"/>
  <c r="I69"/>
  <c r="K27"/>
  <c r="L27"/>
  <c r="M27"/>
  <c r="N27"/>
  <c r="O27"/>
  <c r="P27"/>
  <c r="Q27"/>
  <c r="R27"/>
  <c r="S27"/>
  <c r="T27"/>
  <c r="U27"/>
  <c r="V27"/>
  <c r="W27"/>
  <c r="X27"/>
  <c r="Y27"/>
  <c r="Z27"/>
  <c r="K26"/>
  <c r="L26"/>
  <c r="M26"/>
  <c r="N26"/>
  <c r="O26"/>
  <c r="P26"/>
  <c r="Q26"/>
  <c r="R26"/>
  <c r="S26"/>
  <c r="T26"/>
  <c r="U26"/>
  <c r="V26"/>
  <c r="W26"/>
  <c r="X26"/>
  <c r="Y26"/>
  <c r="Z26"/>
  <c r="K25"/>
  <c r="L25"/>
  <c r="M25"/>
  <c r="N25"/>
  <c r="O25"/>
  <c r="P25"/>
  <c r="Q25"/>
  <c r="R25"/>
  <c r="S25"/>
  <c r="T25"/>
  <c r="U25"/>
  <c r="V25"/>
  <c r="W25"/>
  <c r="X25"/>
  <c r="Y25"/>
  <c r="Z25"/>
  <c r="K24"/>
  <c r="L24"/>
  <c r="M24"/>
  <c r="N24"/>
  <c r="O24"/>
  <c r="P24"/>
  <c r="Q24"/>
  <c r="R24"/>
  <c r="S24"/>
  <c r="T24"/>
  <c r="U24"/>
  <c r="V24"/>
  <c r="W24"/>
  <c r="X24"/>
  <c r="Y24"/>
  <c r="Z24"/>
  <c r="K23"/>
  <c r="L23"/>
  <c r="M23"/>
  <c r="N23"/>
  <c r="O23"/>
  <c r="P23"/>
  <c r="Q23"/>
  <c r="R23"/>
  <c r="S23"/>
  <c r="T23"/>
  <c r="U23"/>
  <c r="V23"/>
  <c r="W23"/>
  <c r="X23"/>
  <c r="Y23"/>
  <c r="Z23"/>
  <c r="K22"/>
  <c r="L22"/>
  <c r="M22"/>
  <c r="N22"/>
  <c r="O22"/>
  <c r="P22"/>
  <c r="Q22"/>
  <c r="R22"/>
  <c r="S22"/>
  <c r="T22"/>
  <c r="U22"/>
  <c r="V22"/>
  <c r="W22"/>
  <c r="X22"/>
  <c r="Y22"/>
  <c r="Z22"/>
  <c r="K21"/>
  <c r="K76" s="1"/>
  <c r="K77" s="1"/>
  <c r="L21"/>
  <c r="M21"/>
  <c r="N21"/>
  <c r="O21"/>
  <c r="P21"/>
  <c r="Q21"/>
  <c r="R21"/>
  <c r="S21"/>
  <c r="T21"/>
  <c r="U21"/>
  <c r="V21"/>
  <c r="W21"/>
  <c r="X21"/>
  <c r="Y21"/>
  <c r="Z21"/>
  <c r="K20"/>
  <c r="K28" s="1"/>
  <c r="L20"/>
  <c r="L28" s="1"/>
  <c r="M20"/>
  <c r="M28" s="1"/>
  <c r="N20"/>
  <c r="N28" s="1"/>
  <c r="O20"/>
  <c r="O28" s="1"/>
  <c r="P20"/>
  <c r="P28" s="1"/>
  <c r="Q20"/>
  <c r="Q28" s="1"/>
  <c r="R20"/>
  <c r="R28" s="1"/>
  <c r="S20"/>
  <c r="S28" s="1"/>
  <c r="T20"/>
  <c r="U20"/>
  <c r="U28" s="1"/>
  <c r="V20"/>
  <c r="W20"/>
  <c r="W28" s="1"/>
  <c r="X20"/>
  <c r="Y20"/>
  <c r="Z20"/>
  <c r="A26"/>
  <c r="M74"/>
  <c r="B159" i="8"/>
  <c r="B156"/>
  <c r="B148"/>
  <c r="B140"/>
  <c r="B139"/>
  <c r="B138"/>
  <c r="B135"/>
  <c r="B124"/>
  <c r="B122"/>
  <c r="J92"/>
  <c r="K92"/>
  <c r="L92"/>
  <c r="M92"/>
  <c r="N92"/>
  <c r="O92"/>
  <c r="P92"/>
  <c r="Q92"/>
  <c r="R92"/>
  <c r="S92"/>
  <c r="T92"/>
  <c r="U92"/>
  <c r="V92"/>
  <c r="W92"/>
  <c r="X92"/>
  <c r="J91"/>
  <c r="L91"/>
  <c r="M91"/>
  <c r="N91"/>
  <c r="A180"/>
  <c r="A178"/>
  <c r="A177"/>
  <c r="A176"/>
  <c r="A175"/>
  <c r="A174"/>
  <c r="A172"/>
  <c r="A171"/>
  <c r="A170"/>
  <c r="A169"/>
  <c r="A168"/>
  <c r="A167"/>
  <c r="A166"/>
  <c r="A165"/>
  <c r="A164"/>
  <c r="A163"/>
  <c r="A162"/>
  <c r="A160"/>
  <c r="A159"/>
  <c r="A158"/>
  <c r="A157"/>
  <c r="A156"/>
  <c r="A155"/>
  <c r="A153"/>
  <c r="A152"/>
  <c r="A151"/>
  <c r="A150"/>
  <c r="A149"/>
  <c r="A148"/>
  <c r="A147"/>
  <c r="A146"/>
  <c r="A145"/>
  <c r="A233" s="1"/>
  <c r="A144"/>
  <c r="A142"/>
  <c r="A141"/>
  <c r="A140"/>
  <c r="A139"/>
  <c r="A138"/>
  <c r="A137"/>
  <c r="A136"/>
  <c r="A135"/>
  <c r="A134"/>
  <c r="A133"/>
  <c r="A131"/>
  <c r="A130"/>
  <c r="A129"/>
  <c r="A128"/>
  <c r="A127"/>
  <c r="A126"/>
  <c r="A125"/>
  <c r="A124"/>
  <c r="A123"/>
  <c r="A122"/>
  <c r="A121"/>
  <c r="A120"/>
  <c r="A119"/>
  <c r="A117"/>
  <c r="A116"/>
  <c r="A115"/>
  <c r="A114"/>
  <c r="A113"/>
  <c r="A112"/>
  <c r="A110"/>
  <c r="A109"/>
  <c r="A108"/>
  <c r="A107"/>
  <c r="A106"/>
  <c r="A105"/>
  <c r="A104"/>
  <c r="A103"/>
  <c r="A102"/>
  <c r="A101"/>
  <c r="A100"/>
  <c r="A99"/>
  <c r="A98"/>
  <c r="A97"/>
  <c r="A96"/>
  <c r="A95"/>
  <c r="A94"/>
  <c r="Y92"/>
  <c r="J3"/>
  <c r="J116" s="1"/>
  <c r="K3"/>
  <c r="L3"/>
  <c r="M3"/>
  <c r="N3"/>
  <c r="O3"/>
  <c r="P3"/>
  <c r="Q3"/>
  <c r="R3"/>
  <c r="R106" s="1"/>
  <c r="S3"/>
  <c r="T3"/>
  <c r="U3"/>
  <c r="V3"/>
  <c r="W3"/>
  <c r="X3"/>
  <c r="A93"/>
  <c r="A91"/>
  <c r="Y4"/>
  <c r="Y91" s="1"/>
  <c r="Y3"/>
  <c r="C171" i="1"/>
  <c r="A253"/>
  <c r="A251"/>
  <c r="C172"/>
  <c r="B172"/>
  <c r="B171"/>
  <c r="C170"/>
  <c r="B170"/>
  <c r="C169"/>
  <c r="B169"/>
  <c r="C168"/>
  <c r="B168"/>
  <c r="C167"/>
  <c r="B167"/>
  <c r="C166"/>
  <c r="B166"/>
  <c r="C165"/>
  <c r="B165"/>
  <c r="C164"/>
  <c r="B164"/>
  <c r="C163"/>
  <c r="B163"/>
  <c r="C162"/>
  <c r="B162"/>
  <c r="C161"/>
  <c r="B161"/>
  <c r="C160"/>
  <c r="B160"/>
  <c r="C159"/>
  <c r="B159"/>
  <c r="C158"/>
  <c r="B158"/>
  <c r="C157"/>
  <c r="B157"/>
  <c r="C156"/>
  <c r="B156"/>
  <c r="C155"/>
  <c r="B155"/>
  <c r="C154"/>
  <c r="B154"/>
  <c r="C153"/>
  <c r="B153"/>
  <c r="C152"/>
  <c r="B152"/>
  <c r="C151"/>
  <c r="B151"/>
  <c r="C150"/>
  <c r="B150"/>
  <c r="K2"/>
  <c r="L2"/>
  <c r="F5" i="17" s="1"/>
  <c r="M2" i="1"/>
  <c r="G5" i="17" s="1"/>
  <c r="N2" i="1"/>
  <c r="H5" i="17" s="1"/>
  <c r="O2" i="1"/>
  <c r="I5" i="17" s="1"/>
  <c r="P2" i="1"/>
  <c r="J5" i="17" s="1"/>
  <c r="Q2" i="1"/>
  <c r="K5" i="17" s="1"/>
  <c r="R2" i="1"/>
  <c r="L5" i="17" s="1"/>
  <c r="S2" i="1"/>
  <c r="M5" i="17" s="1"/>
  <c r="T2" i="1"/>
  <c r="N5" i="17" s="1"/>
  <c r="U2" i="1"/>
  <c r="O5" i="17" s="1"/>
  <c r="V2" i="1"/>
  <c r="P5" i="17" s="1"/>
  <c r="W2" i="1"/>
  <c r="Q5" i="17" s="1"/>
  <c r="X2" i="1"/>
  <c r="R5" i="17" s="1"/>
  <c r="Y2" i="1"/>
  <c r="S5" i="17" s="1"/>
  <c r="Z2" i="1"/>
  <c r="T5" i="17" s="1"/>
  <c r="A250" i="1"/>
  <c r="A249"/>
  <c r="A248"/>
  <c r="A247"/>
  <c r="A246"/>
  <c r="A245"/>
  <c r="A244"/>
  <c r="A243"/>
  <c r="A242"/>
  <c r="A241"/>
  <c r="A240"/>
  <c r="A239"/>
  <c r="A238"/>
  <c r="A237"/>
  <c r="A236"/>
  <c r="A234"/>
  <c r="A232"/>
  <c r="A230"/>
  <c r="A229"/>
  <c r="A228"/>
  <c r="A227"/>
  <c r="A226"/>
  <c r="A225"/>
  <c r="A224"/>
  <c r="A223"/>
  <c r="A222"/>
  <c r="A221"/>
  <c r="A220"/>
  <c r="A219"/>
  <c r="A218"/>
  <c r="A217"/>
  <c r="A216"/>
  <c r="A215"/>
  <c r="A214"/>
  <c r="A213"/>
  <c r="A212"/>
  <c r="A211"/>
  <c r="A210"/>
  <c r="A209"/>
  <c r="A208"/>
  <c r="A207"/>
  <c r="A206"/>
  <c r="A205"/>
  <c r="A204"/>
  <c r="A203"/>
  <c r="A202"/>
  <c r="A201"/>
  <c r="A200"/>
  <c r="A199"/>
  <c r="A198"/>
  <c r="A197"/>
  <c r="A196"/>
  <c r="A195"/>
  <c r="A194"/>
  <c r="A193"/>
  <c r="A192"/>
  <c r="A191"/>
  <c r="A190"/>
  <c r="A189"/>
  <c r="A188"/>
  <c r="A187"/>
  <c r="A186"/>
  <c r="A185"/>
  <c r="A183"/>
  <c r="A182"/>
  <c r="A181"/>
  <c r="A180"/>
  <c r="A179"/>
  <c r="A178"/>
  <c r="A175"/>
  <c r="A173"/>
  <c r="A172"/>
  <c r="A171"/>
  <c r="A170"/>
  <c r="A169"/>
  <c r="A168"/>
  <c r="A167"/>
  <c r="A166"/>
  <c r="A165"/>
  <c r="A164"/>
  <c r="A163"/>
  <c r="A162"/>
  <c r="A161"/>
  <c r="A160"/>
  <c r="A159"/>
  <c r="A158"/>
  <c r="A157"/>
  <c r="A156"/>
  <c r="A155"/>
  <c r="A154"/>
  <c r="A153"/>
  <c r="A152"/>
  <c r="A151"/>
  <c r="A150"/>
  <c r="A149"/>
  <c r="A147"/>
  <c r="A146"/>
  <c r="A145"/>
  <c r="A144"/>
  <c r="A143"/>
  <c r="A142"/>
  <c r="A141"/>
  <c r="A140"/>
  <c r="A139"/>
  <c r="A138"/>
  <c r="A137"/>
  <c r="A134"/>
  <c r="K79" i="12"/>
  <c r="L79"/>
  <c r="M79"/>
  <c r="N79"/>
  <c r="O79"/>
  <c r="P79"/>
  <c r="Q79"/>
  <c r="R79"/>
  <c r="S79"/>
  <c r="T79"/>
  <c r="U79"/>
  <c r="V79"/>
  <c r="W79"/>
  <c r="N74"/>
  <c r="O74"/>
  <c r="P74"/>
  <c r="Q74"/>
  <c r="R74"/>
  <c r="R75" s="1"/>
  <c r="R81" s="1"/>
  <c r="S74"/>
  <c r="T74"/>
  <c r="U74"/>
  <c r="V74"/>
  <c r="W74"/>
  <c r="A63"/>
  <c r="A62"/>
  <c r="A61"/>
  <c r="A60"/>
  <c r="A59"/>
  <c r="A58"/>
  <c r="K49"/>
  <c r="L49"/>
  <c r="M49"/>
  <c r="N49"/>
  <c r="O49"/>
  <c r="P49"/>
  <c r="Q49"/>
  <c r="R49"/>
  <c r="S49"/>
  <c r="T49"/>
  <c r="U49"/>
  <c r="V49"/>
  <c r="W49"/>
  <c r="X49"/>
  <c r="Y49"/>
  <c r="K46"/>
  <c r="L46"/>
  <c r="M46"/>
  <c r="N46"/>
  <c r="O46"/>
  <c r="P46"/>
  <c r="Q46"/>
  <c r="R46"/>
  <c r="S46"/>
  <c r="T46"/>
  <c r="U46"/>
  <c r="V46"/>
  <c r="W46"/>
  <c r="X46"/>
  <c r="Y46"/>
  <c r="K45"/>
  <c r="L45"/>
  <c r="M45"/>
  <c r="N45"/>
  <c r="O45"/>
  <c r="P45"/>
  <c r="Q45"/>
  <c r="R45"/>
  <c r="S45"/>
  <c r="T45"/>
  <c r="U45"/>
  <c r="V45"/>
  <c r="W45"/>
  <c r="X45"/>
  <c r="Y45"/>
  <c r="K44"/>
  <c r="L44"/>
  <c r="M44"/>
  <c r="N44"/>
  <c r="O44"/>
  <c r="P44"/>
  <c r="Q44"/>
  <c r="R44"/>
  <c r="S44"/>
  <c r="T44"/>
  <c r="U44"/>
  <c r="V44"/>
  <c r="W44"/>
  <c r="X44"/>
  <c r="Y44"/>
  <c r="K43"/>
  <c r="L43"/>
  <c r="M43"/>
  <c r="N43"/>
  <c r="O43"/>
  <c r="P43"/>
  <c r="Q43"/>
  <c r="R43"/>
  <c r="S43"/>
  <c r="T43"/>
  <c r="U43"/>
  <c r="V43"/>
  <c r="W43"/>
  <c r="X43"/>
  <c r="Y43"/>
  <c r="K42"/>
  <c r="L42"/>
  <c r="M42"/>
  <c r="N42"/>
  <c r="O42"/>
  <c r="P42"/>
  <c r="Q42"/>
  <c r="R42"/>
  <c r="S42"/>
  <c r="T42"/>
  <c r="U42"/>
  <c r="V42"/>
  <c r="W42"/>
  <c r="X42"/>
  <c r="Y42"/>
  <c r="K41"/>
  <c r="L41"/>
  <c r="M41"/>
  <c r="N41"/>
  <c r="O41"/>
  <c r="P41"/>
  <c r="Q41"/>
  <c r="R41"/>
  <c r="S41"/>
  <c r="T41"/>
  <c r="U41"/>
  <c r="V41"/>
  <c r="W41"/>
  <c r="X41"/>
  <c r="Y41"/>
  <c r="A41"/>
  <c r="A57" s="1"/>
  <c r="A40"/>
  <c r="A56" s="1"/>
  <c r="K39"/>
  <c r="L39"/>
  <c r="M39"/>
  <c r="N39"/>
  <c r="O39"/>
  <c r="P39"/>
  <c r="Q39"/>
  <c r="R39"/>
  <c r="S39"/>
  <c r="T39"/>
  <c r="U39"/>
  <c r="V39"/>
  <c r="W39"/>
  <c r="X39"/>
  <c r="Y39"/>
  <c r="A39"/>
  <c r="A55" s="1"/>
  <c r="K38"/>
  <c r="L38"/>
  <c r="M38"/>
  <c r="N38"/>
  <c r="O38"/>
  <c r="P38"/>
  <c r="Q38"/>
  <c r="R38"/>
  <c r="S38"/>
  <c r="T38"/>
  <c r="U38"/>
  <c r="V38"/>
  <c r="W38"/>
  <c r="X38"/>
  <c r="Y38"/>
  <c r="A38"/>
  <c r="A54" s="1"/>
  <c r="K37"/>
  <c r="L37"/>
  <c r="M37"/>
  <c r="N37"/>
  <c r="O37"/>
  <c r="P37"/>
  <c r="Q37"/>
  <c r="R37"/>
  <c r="S37"/>
  <c r="T37"/>
  <c r="U37"/>
  <c r="V37"/>
  <c r="W37"/>
  <c r="X37"/>
  <c r="Y37"/>
  <c r="A37"/>
  <c r="A53" s="1"/>
  <c r="K36"/>
  <c r="L36"/>
  <c r="M36"/>
  <c r="N36"/>
  <c r="O36"/>
  <c r="P36"/>
  <c r="Q36"/>
  <c r="R36"/>
  <c r="S36"/>
  <c r="T36"/>
  <c r="U36"/>
  <c r="V36"/>
  <c r="W36"/>
  <c r="X36"/>
  <c r="Y36"/>
  <c r="A36"/>
  <c r="A52" s="1"/>
  <c r="K35"/>
  <c r="L35"/>
  <c r="M35"/>
  <c r="N35"/>
  <c r="O35"/>
  <c r="P35"/>
  <c r="Q35"/>
  <c r="R35"/>
  <c r="S35"/>
  <c r="T35"/>
  <c r="U35"/>
  <c r="V35"/>
  <c r="W35"/>
  <c r="X35"/>
  <c r="Y35"/>
  <c r="A35"/>
  <c r="A51" s="1"/>
  <c r="A34"/>
  <c r="A50" s="1"/>
  <c r="A27"/>
  <c r="A25"/>
  <c r="A24"/>
  <c r="A22"/>
  <c r="E26" i="2" s="1"/>
  <c r="A21" i="12"/>
  <c r="E24" i="2" s="1"/>
  <c r="A20" i="12"/>
  <c r="E23" i="2" s="1"/>
  <c r="K15" i="12"/>
  <c r="L15"/>
  <c r="M15"/>
  <c r="N15"/>
  <c r="O15"/>
  <c r="P15"/>
  <c r="Q15"/>
  <c r="R15"/>
  <c r="S15"/>
  <c r="T15"/>
  <c r="U15"/>
  <c r="V15"/>
  <c r="W15"/>
  <c r="X15"/>
  <c r="Y15"/>
  <c r="Z15"/>
  <c r="K14"/>
  <c r="L14"/>
  <c r="M14"/>
  <c r="N14"/>
  <c r="O14"/>
  <c r="P14"/>
  <c r="Q14"/>
  <c r="R14"/>
  <c r="S14"/>
  <c r="T14"/>
  <c r="U14"/>
  <c r="V14"/>
  <c r="W14"/>
  <c r="X14"/>
  <c r="Y14"/>
  <c r="Z14"/>
  <c r="K13"/>
  <c r="L13"/>
  <c r="M13"/>
  <c r="N13"/>
  <c r="O13"/>
  <c r="P13"/>
  <c r="Q13"/>
  <c r="R13"/>
  <c r="S13"/>
  <c r="T13"/>
  <c r="U13"/>
  <c r="V13"/>
  <c r="W13"/>
  <c r="X13"/>
  <c r="Y13"/>
  <c r="Z13"/>
  <c r="K12"/>
  <c r="L12"/>
  <c r="M12"/>
  <c r="N12"/>
  <c r="O12"/>
  <c r="P12"/>
  <c r="Q12"/>
  <c r="R12"/>
  <c r="S12"/>
  <c r="T12"/>
  <c r="U12"/>
  <c r="V12"/>
  <c r="W12"/>
  <c r="X12"/>
  <c r="Y12"/>
  <c r="Z12"/>
  <c r="K11"/>
  <c r="L11"/>
  <c r="M11"/>
  <c r="N11"/>
  <c r="O11"/>
  <c r="P11"/>
  <c r="Q11"/>
  <c r="R11"/>
  <c r="S11"/>
  <c r="T11"/>
  <c r="U11"/>
  <c r="V11"/>
  <c r="W11"/>
  <c r="X11"/>
  <c r="Y11"/>
  <c r="Z11"/>
  <c r="K10"/>
  <c r="L10"/>
  <c r="M10"/>
  <c r="N10"/>
  <c r="O10"/>
  <c r="P10"/>
  <c r="Q10"/>
  <c r="R10"/>
  <c r="S10"/>
  <c r="T10"/>
  <c r="U10"/>
  <c r="V10"/>
  <c r="W10"/>
  <c r="X10"/>
  <c r="Y10"/>
  <c r="Z10"/>
  <c r="K9"/>
  <c r="L9"/>
  <c r="M9"/>
  <c r="N9"/>
  <c r="O9"/>
  <c r="P9"/>
  <c r="Q9"/>
  <c r="R9"/>
  <c r="S9"/>
  <c r="T9"/>
  <c r="U9"/>
  <c r="V9"/>
  <c r="W9"/>
  <c r="X9"/>
  <c r="Y9"/>
  <c r="Z9"/>
  <c r="K8"/>
  <c r="L8"/>
  <c r="M8"/>
  <c r="N8"/>
  <c r="O8"/>
  <c r="P8"/>
  <c r="Q8"/>
  <c r="R8"/>
  <c r="S8"/>
  <c r="T8"/>
  <c r="U8"/>
  <c r="V8"/>
  <c r="W8"/>
  <c r="X8"/>
  <c r="Y8"/>
  <c r="Z8"/>
  <c r="K7"/>
  <c r="L7"/>
  <c r="M7"/>
  <c r="N7"/>
  <c r="O7"/>
  <c r="P7"/>
  <c r="Q7"/>
  <c r="R7"/>
  <c r="S7"/>
  <c r="T7"/>
  <c r="U7"/>
  <c r="V7"/>
  <c r="W7"/>
  <c r="X7"/>
  <c r="Y7"/>
  <c r="Z7"/>
  <c r="K6"/>
  <c r="K87" s="1"/>
  <c r="L6"/>
  <c r="L87" s="1"/>
  <c r="M6"/>
  <c r="M16" s="1"/>
  <c r="N6"/>
  <c r="N16" s="1"/>
  <c r="O6"/>
  <c r="O16" s="1"/>
  <c r="P6"/>
  <c r="P87" s="1"/>
  <c r="Q6"/>
  <c r="R6"/>
  <c r="R16" s="1"/>
  <c r="S6"/>
  <c r="S16" s="1"/>
  <c r="T6"/>
  <c r="T87" s="1"/>
  <c r="U6"/>
  <c r="U86" s="1"/>
  <c r="V6"/>
  <c r="V16" s="1"/>
  <c r="W6"/>
  <c r="W16" s="1"/>
  <c r="X6"/>
  <c r="X87" s="1"/>
  <c r="Y6"/>
  <c r="Z6"/>
  <c r="Z16" s="1"/>
  <c r="AD83" i="8"/>
  <c r="AC83"/>
  <c r="AB83"/>
  <c r="AA83"/>
  <c r="AD78"/>
  <c r="AD67"/>
  <c r="AD61"/>
  <c r="AD51"/>
  <c r="AD84" s="1"/>
  <c r="AD41"/>
  <c r="AD28"/>
  <c r="AD22"/>
  <c r="AC22"/>
  <c r="AB22"/>
  <c r="AA22"/>
  <c r="AB2" i="1"/>
  <c r="AD2" s="1"/>
  <c r="AC2" s="1"/>
  <c r="X74" i="12"/>
  <c r="X75" s="1"/>
  <c r="X81" s="1"/>
  <c r="T75"/>
  <c r="P75"/>
  <c r="P81" s="1"/>
  <c r="U75"/>
  <c r="U81" s="1"/>
  <c r="Q75"/>
  <c r="M75"/>
  <c r="S87"/>
  <c r="W75"/>
  <c r="S75"/>
  <c r="S81" s="1"/>
  <c r="O75"/>
  <c r="O81" s="1"/>
  <c r="H3" i="8"/>
  <c r="H3" i="12"/>
  <c r="H26" s="1"/>
  <c r="T81"/>
  <c r="Q81"/>
  <c r="M81"/>
  <c r="L76"/>
  <c r="L77" s="1"/>
  <c r="W81"/>
  <c r="AC104" i="1"/>
  <c r="AD104"/>
  <c r="AC55"/>
  <c r="AD55"/>
  <c r="AC45"/>
  <c r="AD45"/>
  <c r="AC19"/>
  <c r="AD19"/>
  <c r="H2"/>
  <c r="G2" s="1"/>
  <c r="H73" i="12"/>
  <c r="H74" s="1"/>
  <c r="H22"/>
  <c r="H12"/>
  <c r="H8"/>
  <c r="H23"/>
  <c r="H13"/>
  <c r="H9"/>
  <c r="H20"/>
  <c r="H14"/>
  <c r="H10"/>
  <c r="H25"/>
  <c r="H21"/>
  <c r="H15"/>
  <c r="H7"/>
  <c r="G3" i="8"/>
  <c r="F3" s="1"/>
  <c r="E3"/>
  <c r="D3" s="1"/>
  <c r="F2" i="1"/>
  <c r="F26" i="12"/>
  <c r="F22"/>
  <c r="F27"/>
  <c r="F23"/>
  <c r="F24"/>
  <c r="F20"/>
  <c r="F25"/>
  <c r="F21"/>
  <c r="AC28" i="8"/>
  <c r="AB28"/>
  <c r="AA28"/>
  <c r="AC41"/>
  <c r="AC84" s="1"/>
  <c r="AB41"/>
  <c r="AA41"/>
  <c r="AC51"/>
  <c r="AB51"/>
  <c r="AA51"/>
  <c r="AC61"/>
  <c r="AB61"/>
  <c r="AA61"/>
  <c r="AA84" s="1"/>
  <c r="AC67"/>
  <c r="AB67"/>
  <c r="AA67"/>
  <c r="AC78"/>
  <c r="AB78"/>
  <c r="AA78"/>
  <c r="J22"/>
  <c r="K28"/>
  <c r="J28"/>
  <c r="J41"/>
  <c r="J83"/>
  <c r="J78"/>
  <c r="J67"/>
  <c r="J61"/>
  <c r="J51"/>
  <c r="L19" i="1"/>
  <c r="L40" i="12"/>
  <c r="K40"/>
  <c r="K34"/>
  <c r="AB56" i="1"/>
  <c r="K51" i="8"/>
  <c r="Z83"/>
  <c r="Z78"/>
  <c r="Z67"/>
  <c r="Z61"/>
  <c r="Z51"/>
  <c r="Z41"/>
  <c r="Z28"/>
  <c r="Z22"/>
  <c r="Z84" s="1"/>
  <c r="K19" i="1"/>
  <c r="Z104"/>
  <c r="Y104"/>
  <c r="Y83" i="8"/>
  <c r="Y78"/>
  <c r="Y67"/>
  <c r="Y61"/>
  <c r="Y51"/>
  <c r="Y41"/>
  <c r="Y28"/>
  <c r="Y22"/>
  <c r="O4"/>
  <c r="P4" s="1"/>
  <c r="K4"/>
  <c r="K91" s="1"/>
  <c r="W22"/>
  <c r="X22"/>
  <c r="X28"/>
  <c r="Y40" i="12" s="1"/>
  <c r="X67" i="8"/>
  <c r="X61"/>
  <c r="X84" s="1"/>
  <c r="Y56" i="1" s="1"/>
  <c r="X51" i="8"/>
  <c r="X41"/>
  <c r="X83"/>
  <c r="W78"/>
  <c r="W67"/>
  <c r="W61"/>
  <c r="B77"/>
  <c r="B171" s="1"/>
  <c r="B70"/>
  <c r="B164" s="1"/>
  <c r="B60"/>
  <c r="B152" s="1"/>
  <c r="B21"/>
  <c r="B109" s="1"/>
  <c r="B81"/>
  <c r="B176" s="1"/>
  <c r="W83"/>
  <c r="W51"/>
  <c r="W41"/>
  <c r="W28"/>
  <c r="V22"/>
  <c r="V28"/>
  <c r="W40" i="12" s="1"/>
  <c r="V41" i="8"/>
  <c r="V51"/>
  <c r="V61"/>
  <c r="V67"/>
  <c r="V78"/>
  <c r="V83"/>
  <c r="U61"/>
  <c r="U67"/>
  <c r="U78"/>
  <c r="U83"/>
  <c r="B39"/>
  <c r="B129" s="1"/>
  <c r="U22"/>
  <c r="T83"/>
  <c r="T78"/>
  <c r="T67"/>
  <c r="K61"/>
  <c r="L61"/>
  <c r="M61"/>
  <c r="N61"/>
  <c r="O61"/>
  <c r="P61"/>
  <c r="Q61"/>
  <c r="R61"/>
  <c r="S61"/>
  <c r="T61"/>
  <c r="U51"/>
  <c r="U41"/>
  <c r="U28"/>
  <c r="T51"/>
  <c r="T41"/>
  <c r="T84" s="1"/>
  <c r="U56" i="1" s="1"/>
  <c r="T28" i="8"/>
  <c r="T22"/>
  <c r="S83"/>
  <c r="S78"/>
  <c r="S67"/>
  <c r="S51"/>
  <c r="S41"/>
  <c r="S28"/>
  <c r="S22"/>
  <c r="T34" i="12" s="1"/>
  <c r="R83" i="8"/>
  <c r="R78"/>
  <c r="R67"/>
  <c r="R51"/>
  <c r="R41"/>
  <c r="R28"/>
  <c r="R22"/>
  <c r="S34" i="12" s="1"/>
  <c r="Q22" i="8"/>
  <c r="Q83"/>
  <c r="Q78"/>
  <c r="Q67"/>
  <c r="Q51"/>
  <c r="Q41"/>
  <c r="Q28"/>
  <c r="R40" i="12" s="1"/>
  <c r="V34"/>
  <c r="W34"/>
  <c r="U34"/>
  <c r="O91" i="8"/>
  <c r="X34" i="12"/>
  <c r="Y34"/>
  <c r="X40"/>
  <c r="T40"/>
  <c r="U40"/>
  <c r="V40"/>
  <c r="S40"/>
  <c r="Z106" i="1"/>
  <c r="Z30" i="12" s="1"/>
  <c r="R84" i="8"/>
  <c r="P83"/>
  <c r="P78"/>
  <c r="P67"/>
  <c r="P51"/>
  <c r="O51"/>
  <c r="P41"/>
  <c r="P28"/>
  <c r="P22"/>
  <c r="K83"/>
  <c r="L83"/>
  <c r="M83"/>
  <c r="N83"/>
  <c r="O83"/>
  <c r="O78"/>
  <c r="O67"/>
  <c r="O41"/>
  <c r="O28"/>
  <c r="P40" i="12" s="1"/>
  <c r="O22" i="8"/>
  <c r="O84" s="1"/>
  <c r="M78"/>
  <c r="M67"/>
  <c r="M51"/>
  <c r="M41"/>
  <c r="M28"/>
  <c r="M22"/>
  <c r="N34" i="12" s="1"/>
  <c r="K22" i="8"/>
  <c r="K78"/>
  <c r="L78"/>
  <c r="K67"/>
  <c r="L67"/>
  <c r="L51"/>
  <c r="K41"/>
  <c r="L41"/>
  <c r="L28"/>
  <c r="L22"/>
  <c r="M34" i="12" s="1"/>
  <c r="X104" i="1"/>
  <c r="X106" s="1"/>
  <c r="S14" i="19" s="1"/>
  <c r="S15" s="1"/>
  <c r="S24" s="1"/>
  <c r="S25" s="1"/>
  <c r="W104" i="1"/>
  <c r="W106" s="1"/>
  <c r="R14" i="19" s="1"/>
  <c r="R15" s="1"/>
  <c r="R24" s="1"/>
  <c r="R25" s="1"/>
  <c r="V104" i="1"/>
  <c r="U104"/>
  <c r="T104"/>
  <c r="T106" s="1"/>
  <c r="O14" i="19" s="1"/>
  <c r="O15" s="1"/>
  <c r="O24" s="1"/>
  <c r="O25" s="1"/>
  <c r="S104" i="1"/>
  <c r="S106" s="1"/>
  <c r="N14" i="19" s="1"/>
  <c r="N15" s="1"/>
  <c r="N24" s="1"/>
  <c r="N25" s="1"/>
  <c r="R104" i="1"/>
  <c r="Q104"/>
  <c r="Q106" s="1"/>
  <c r="L14" i="19" s="1"/>
  <c r="L15" s="1"/>
  <c r="L24" s="1"/>
  <c r="L25" s="1"/>
  <c r="P104" i="1"/>
  <c r="O104"/>
  <c r="N104"/>
  <c r="M104"/>
  <c r="M106" s="1"/>
  <c r="K55"/>
  <c r="M40" i="12"/>
  <c r="N40"/>
  <c r="Q34"/>
  <c r="S56" i="1"/>
  <c r="Q40" i="12"/>
  <c r="P84" i="8"/>
  <c r="Q56" i="1" s="1"/>
  <c r="N28" i="8"/>
  <c r="O40" i="12" s="1"/>
  <c r="N41" i="8"/>
  <c r="N67"/>
  <c r="N51"/>
  <c r="N78"/>
  <c r="N22"/>
  <c r="L55" i="1"/>
  <c r="L104"/>
  <c r="K45"/>
  <c r="B82" i="8"/>
  <c r="B177" s="1"/>
  <c r="B80"/>
  <c r="B175" s="1"/>
  <c r="B76"/>
  <c r="B170"/>
  <c r="B75"/>
  <c r="B169" s="1"/>
  <c r="B74"/>
  <c r="B168" s="1"/>
  <c r="B73"/>
  <c r="B167" s="1"/>
  <c r="B72"/>
  <c r="B166"/>
  <c r="B71"/>
  <c r="B165" s="1"/>
  <c r="B69"/>
  <c r="B163" s="1"/>
  <c r="B65"/>
  <c r="B158" s="1"/>
  <c r="B64"/>
  <c r="B157"/>
  <c r="B59"/>
  <c r="B151" s="1"/>
  <c r="B58"/>
  <c r="B150" s="1"/>
  <c r="B57"/>
  <c r="B149" s="1"/>
  <c r="B55"/>
  <c r="B147" s="1"/>
  <c r="B54"/>
  <c r="B146" s="1"/>
  <c r="B50"/>
  <c r="B141" s="1"/>
  <c r="B46"/>
  <c r="B137" s="1"/>
  <c r="B45"/>
  <c r="B136"/>
  <c r="B43"/>
  <c r="B134" s="1"/>
  <c r="B40"/>
  <c r="B130" s="1"/>
  <c r="B38"/>
  <c r="B128" s="1"/>
  <c r="B37"/>
  <c r="B127"/>
  <c r="B36"/>
  <c r="B126" s="1"/>
  <c r="B35"/>
  <c r="B125" s="1"/>
  <c r="B33"/>
  <c r="B123" s="1"/>
  <c r="B31"/>
  <c r="B121"/>
  <c r="B30"/>
  <c r="B120" s="1"/>
  <c r="B27"/>
  <c r="B116" s="1"/>
  <c r="B26"/>
  <c r="B115" s="1"/>
  <c r="B25"/>
  <c r="B114" s="1"/>
  <c r="B24"/>
  <c r="B113" s="1"/>
  <c r="B20"/>
  <c r="B108" s="1"/>
  <c r="B19"/>
  <c r="B107" s="1"/>
  <c r="B18"/>
  <c r="B106" s="1"/>
  <c r="B17"/>
  <c r="B105" s="1"/>
  <c r="B16"/>
  <c r="B104" s="1"/>
  <c r="B15"/>
  <c r="B103" s="1"/>
  <c r="B14"/>
  <c r="B102" s="1"/>
  <c r="B13"/>
  <c r="B101" s="1"/>
  <c r="B12"/>
  <c r="B100" s="1"/>
  <c r="B11"/>
  <c r="B99" s="1"/>
  <c r="B10"/>
  <c r="B98" s="1"/>
  <c r="B9"/>
  <c r="B97" s="1"/>
  <c r="B8"/>
  <c r="B96" s="1"/>
  <c r="B7"/>
  <c r="B95" s="1"/>
  <c r="F69" i="4"/>
  <c r="F56"/>
  <c r="F52"/>
  <c r="F48"/>
  <c r="F42"/>
  <c r="F10"/>
  <c r="C103" i="1"/>
  <c r="C59"/>
  <c r="C102"/>
  <c r="C101"/>
  <c r="C100"/>
  <c r="C99"/>
  <c r="C98"/>
  <c r="C97"/>
  <c r="C96"/>
  <c r="C95"/>
  <c r="C94"/>
  <c r="C93"/>
  <c r="C92"/>
  <c r="C91"/>
  <c r="C90"/>
  <c r="C89"/>
  <c r="C88"/>
  <c r="C87"/>
  <c r="C86"/>
  <c r="C85"/>
  <c r="C84"/>
  <c r="C83"/>
  <c r="C82"/>
  <c r="C81"/>
  <c r="C80"/>
  <c r="C79"/>
  <c r="C78"/>
  <c r="C77"/>
  <c r="C76"/>
  <c r="C75"/>
  <c r="C74"/>
  <c r="C73"/>
  <c r="C72"/>
  <c r="C70"/>
  <c r="C69"/>
  <c r="C68"/>
  <c r="C67"/>
  <c r="C66"/>
  <c r="C65"/>
  <c r="C64"/>
  <c r="C63"/>
  <c r="C62"/>
  <c r="C61"/>
  <c r="F50" i="4"/>
  <c r="F97"/>
  <c r="O34" i="12"/>
  <c r="M45" i="1"/>
  <c r="N45"/>
  <c r="O45"/>
  <c r="N106"/>
  <c r="I14" i="19" s="1"/>
  <c r="I15" s="1"/>
  <c r="I24" s="1"/>
  <c r="I25" s="1"/>
  <c r="P106" i="1"/>
  <c r="K14" i="19" s="1"/>
  <c r="K15" s="1"/>
  <c r="K24" s="1"/>
  <c r="K25" s="1"/>
  <c r="R106" i="1"/>
  <c r="M14" i="19" s="1"/>
  <c r="M15" s="1"/>
  <c r="M24" s="1"/>
  <c r="M25" s="1"/>
  <c r="U106" i="1"/>
  <c r="P14" i="19" s="1"/>
  <c r="P15" s="1"/>
  <c r="P24" s="1"/>
  <c r="P25" s="1"/>
  <c r="V106" i="1"/>
  <c r="Q14" i="19" s="1"/>
  <c r="Q15" s="1"/>
  <c r="Q24" s="1"/>
  <c r="Q25" s="1"/>
  <c r="O55" i="1"/>
  <c r="S45"/>
  <c r="R45"/>
  <c r="Q45"/>
  <c r="P45"/>
  <c r="F96" i="4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8"/>
  <c r="F67"/>
  <c r="F66"/>
  <c r="F65"/>
  <c r="F64"/>
  <c r="F63"/>
  <c r="F62"/>
  <c r="F61"/>
  <c r="F60"/>
  <c r="F59"/>
  <c r="F58"/>
  <c r="F57"/>
  <c r="F55"/>
  <c r="F54"/>
  <c r="F53"/>
  <c r="F51"/>
  <c r="F49"/>
  <c r="F47"/>
  <c r="F46"/>
  <c r="F45"/>
  <c r="F44"/>
  <c r="F43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9"/>
  <c r="F8"/>
  <c r="F7"/>
  <c r="F6"/>
  <c r="F5"/>
  <c r="L45" i="1"/>
  <c r="L47" s="1"/>
  <c r="M19"/>
  <c r="N19"/>
  <c r="O19"/>
  <c r="O47" s="1"/>
  <c r="P19"/>
  <c r="Q19"/>
  <c r="Q47" s="1"/>
  <c r="R19"/>
  <c r="R47" s="1"/>
  <c r="R108" s="1"/>
  <c r="S19"/>
  <c r="S47" s="1"/>
  <c r="T19"/>
  <c r="U19"/>
  <c r="V19"/>
  <c r="W19"/>
  <c r="X19"/>
  <c r="Y19"/>
  <c r="T45"/>
  <c r="U45"/>
  <c r="V45"/>
  <c r="W45"/>
  <c r="X45"/>
  <c r="Y45"/>
  <c r="Z45"/>
  <c r="Z19"/>
  <c r="X78" i="8"/>
  <c r="M47" i="1"/>
  <c r="V160" i="8" l="1"/>
  <c r="J169"/>
  <c r="N110"/>
  <c r="N131"/>
  <c r="W153"/>
  <c r="S149"/>
  <c r="O142"/>
  <c r="N178"/>
  <c r="R142"/>
  <c r="J178"/>
  <c r="Y108"/>
  <c r="J138"/>
  <c r="J10" i="12"/>
  <c r="E76" i="19"/>
  <c r="F12"/>
  <c r="H11" i="12"/>
  <c r="H16" s="1"/>
  <c r="H6"/>
  <c r="H24"/>
  <c r="H27"/>
  <c r="J15"/>
  <c r="J9"/>
  <c r="G69"/>
  <c r="G70"/>
  <c r="G3"/>
  <c r="E78" i="19"/>
  <c r="F15" i="12"/>
  <c r="F11"/>
  <c r="F7"/>
  <c r="D12" i="19"/>
  <c r="F12" i="12"/>
  <c r="F8"/>
  <c r="F30"/>
  <c r="F13"/>
  <c r="F9"/>
  <c r="D69"/>
  <c r="F14"/>
  <c r="F10"/>
  <c r="F6"/>
  <c r="E3"/>
  <c r="D70"/>
  <c r="S123" i="8"/>
  <c r="S153"/>
  <c r="K160"/>
  <c r="O131"/>
  <c r="K178"/>
  <c r="W117"/>
  <c r="E13" i="18"/>
  <c r="D13" s="1"/>
  <c r="C13" s="1"/>
  <c r="K131" i="8"/>
  <c r="O160"/>
  <c r="S110"/>
  <c r="R153"/>
  <c r="N153"/>
  <c r="V153"/>
  <c r="K142"/>
  <c r="J153"/>
  <c r="J158"/>
  <c r="S107"/>
  <c r="J127"/>
  <c r="S168"/>
  <c r="U160"/>
  <c r="Q107"/>
  <c r="P117"/>
  <c r="L160"/>
  <c r="M142"/>
  <c r="R178"/>
  <c r="S142"/>
  <c r="T153"/>
  <c r="L153"/>
  <c r="V131"/>
  <c r="W131"/>
  <c r="W172"/>
  <c r="W110"/>
  <c r="Y117"/>
  <c r="J172"/>
  <c r="K117"/>
  <c r="M137"/>
  <c r="S138"/>
  <c r="N156"/>
  <c r="R105"/>
  <c r="N142"/>
  <c r="O172"/>
  <c r="R180"/>
  <c r="V110"/>
  <c r="R172"/>
  <c r="S172"/>
  <c r="V178"/>
  <c r="V142"/>
  <c r="W178"/>
  <c r="Y153"/>
  <c r="J147"/>
  <c r="S97"/>
  <c r="F28" i="12"/>
  <c r="H87"/>
  <c r="Y74"/>
  <c r="I16"/>
  <c r="K165" i="8"/>
  <c r="D180"/>
  <c r="D175"/>
  <c r="D169"/>
  <c r="D165"/>
  <c r="D159"/>
  <c r="D153"/>
  <c r="D149"/>
  <c r="D145"/>
  <c r="D139"/>
  <c r="D135"/>
  <c r="D129"/>
  <c r="D125"/>
  <c r="D121"/>
  <c r="D115"/>
  <c r="D109"/>
  <c r="D105"/>
  <c r="D101"/>
  <c r="D97"/>
  <c r="E178"/>
  <c r="E172"/>
  <c r="E168"/>
  <c r="E164"/>
  <c r="E158"/>
  <c r="E152"/>
  <c r="E148"/>
  <c r="E142"/>
  <c r="E138"/>
  <c r="E134"/>
  <c r="E128"/>
  <c r="E124"/>
  <c r="E120"/>
  <c r="E114"/>
  <c r="E108"/>
  <c r="E104"/>
  <c r="E100"/>
  <c r="E96"/>
  <c r="F176"/>
  <c r="F169"/>
  <c r="F165"/>
  <c r="F158"/>
  <c r="F151"/>
  <c r="F147"/>
  <c r="F140"/>
  <c r="F136"/>
  <c r="F129"/>
  <c r="F125"/>
  <c r="F121"/>
  <c r="F114"/>
  <c r="F107"/>
  <c r="F103"/>
  <c r="F99"/>
  <c r="F95"/>
  <c r="G176"/>
  <c r="G170"/>
  <c r="G166"/>
  <c r="G160"/>
  <c r="G156"/>
  <c r="G150"/>
  <c r="G146"/>
  <c r="G140"/>
  <c r="G136"/>
  <c r="G130"/>
  <c r="G126"/>
  <c r="G122"/>
  <c r="G116"/>
  <c r="G110"/>
  <c r="G106"/>
  <c r="G102"/>
  <c r="G98"/>
  <c r="H180"/>
  <c r="H175"/>
  <c r="H169"/>
  <c r="H165"/>
  <c r="H159"/>
  <c r="H153"/>
  <c r="H149"/>
  <c r="H145"/>
  <c r="H139"/>
  <c r="H135"/>
  <c r="H129"/>
  <c r="H125"/>
  <c r="H121"/>
  <c r="H115"/>
  <c r="H109"/>
  <c r="H105"/>
  <c r="H101"/>
  <c r="H97"/>
  <c r="I178"/>
  <c r="I172"/>
  <c r="I168"/>
  <c r="I164"/>
  <c r="I158"/>
  <c r="I152"/>
  <c r="I148"/>
  <c r="I142"/>
  <c r="I138"/>
  <c r="I134"/>
  <c r="I128"/>
  <c r="I124"/>
  <c r="I120"/>
  <c r="I114"/>
  <c r="I108"/>
  <c r="I104"/>
  <c r="I100"/>
  <c r="I96"/>
  <c r="D176"/>
  <c r="D170"/>
  <c r="D166"/>
  <c r="D160"/>
  <c r="D156"/>
  <c r="D150"/>
  <c r="D146"/>
  <c r="D140"/>
  <c r="D136"/>
  <c r="D130"/>
  <c r="D126"/>
  <c r="D122"/>
  <c r="D116"/>
  <c r="D110"/>
  <c r="D106"/>
  <c r="D102"/>
  <c r="D98"/>
  <c r="E180"/>
  <c r="E175"/>
  <c r="E169"/>
  <c r="E165"/>
  <c r="E159"/>
  <c r="E153"/>
  <c r="E149"/>
  <c r="E145"/>
  <c r="E139"/>
  <c r="E135"/>
  <c r="E129"/>
  <c r="E125"/>
  <c r="E121"/>
  <c r="E115"/>
  <c r="E109"/>
  <c r="E105"/>
  <c r="E101"/>
  <c r="E97"/>
  <c r="F177"/>
  <c r="F170"/>
  <c r="F166"/>
  <c r="F159"/>
  <c r="F152"/>
  <c r="F148"/>
  <c r="F141"/>
  <c r="F137"/>
  <c r="F130"/>
  <c r="F126"/>
  <c r="F122"/>
  <c r="F115"/>
  <c r="F108"/>
  <c r="F104"/>
  <c r="F100"/>
  <c r="F96"/>
  <c r="G177"/>
  <c r="G171"/>
  <c r="G167"/>
  <c r="G163"/>
  <c r="G157"/>
  <c r="G151"/>
  <c r="G147"/>
  <c r="G141"/>
  <c r="G137"/>
  <c r="G131"/>
  <c r="G127"/>
  <c r="G123"/>
  <c r="G117"/>
  <c r="G113"/>
  <c r="G107"/>
  <c r="G103"/>
  <c r="G99"/>
  <c r="G95"/>
  <c r="H176"/>
  <c r="H170"/>
  <c r="H166"/>
  <c r="H160"/>
  <c r="H156"/>
  <c r="H150"/>
  <c r="H146"/>
  <c r="H140"/>
  <c r="H136"/>
  <c r="H130"/>
  <c r="H126"/>
  <c r="H122"/>
  <c r="H116"/>
  <c r="H110"/>
  <c r="H106"/>
  <c r="H102"/>
  <c r="H98"/>
  <c r="I180"/>
  <c r="I175"/>
  <c r="I169"/>
  <c r="I165"/>
  <c r="I159"/>
  <c r="I153"/>
  <c r="I149"/>
  <c r="I145"/>
  <c r="I139"/>
  <c r="I135"/>
  <c r="I129"/>
  <c r="I125"/>
  <c r="I121"/>
  <c r="I115"/>
  <c r="I109"/>
  <c r="I105"/>
  <c r="I101"/>
  <c r="I97"/>
  <c r="D177"/>
  <c r="D171"/>
  <c r="D167"/>
  <c r="D163"/>
  <c r="D157"/>
  <c r="D151"/>
  <c r="D147"/>
  <c r="D141"/>
  <c r="D137"/>
  <c r="D131"/>
  <c r="D127"/>
  <c r="D123"/>
  <c r="D117"/>
  <c r="D113"/>
  <c r="D107"/>
  <c r="D103"/>
  <c r="D99"/>
  <c r="D95"/>
  <c r="E176"/>
  <c r="E170"/>
  <c r="E166"/>
  <c r="E160"/>
  <c r="E156"/>
  <c r="E150"/>
  <c r="E146"/>
  <c r="E140"/>
  <c r="E136"/>
  <c r="E130"/>
  <c r="E126"/>
  <c r="E122"/>
  <c r="E116"/>
  <c r="E110"/>
  <c r="E106"/>
  <c r="E102"/>
  <c r="E98"/>
  <c r="F178"/>
  <c r="F171"/>
  <c r="F167"/>
  <c r="F163"/>
  <c r="F156"/>
  <c r="F149"/>
  <c r="F145"/>
  <c r="F138"/>
  <c r="F134"/>
  <c r="F127"/>
  <c r="F123"/>
  <c r="F116"/>
  <c r="F109"/>
  <c r="F105"/>
  <c r="F101"/>
  <c r="F97"/>
  <c r="G178"/>
  <c r="G172"/>
  <c r="G168"/>
  <c r="G164"/>
  <c r="G158"/>
  <c r="G152"/>
  <c r="G148"/>
  <c r="G142"/>
  <c r="G138"/>
  <c r="G134"/>
  <c r="G128"/>
  <c r="G124"/>
  <c r="G120"/>
  <c r="G114"/>
  <c r="G108"/>
  <c r="G104"/>
  <c r="G100"/>
  <c r="G96"/>
  <c r="H177"/>
  <c r="H171"/>
  <c r="H167"/>
  <c r="H163"/>
  <c r="H157"/>
  <c r="H151"/>
  <c r="H147"/>
  <c r="H141"/>
  <c r="H137"/>
  <c r="H131"/>
  <c r="H127"/>
  <c r="H123"/>
  <c r="H117"/>
  <c r="H113"/>
  <c r="H107"/>
  <c r="H103"/>
  <c r="H99"/>
  <c r="H95"/>
  <c r="I176"/>
  <c r="I170"/>
  <c r="I166"/>
  <c r="I160"/>
  <c r="I156"/>
  <c r="I150"/>
  <c r="I146"/>
  <c r="I140"/>
  <c r="I136"/>
  <c r="I130"/>
  <c r="I126"/>
  <c r="I122"/>
  <c r="I116"/>
  <c r="I110"/>
  <c r="I106"/>
  <c r="I102"/>
  <c r="I98"/>
  <c r="D178"/>
  <c r="D172"/>
  <c r="D260" s="1"/>
  <c r="D168"/>
  <c r="D164"/>
  <c r="D158"/>
  <c r="D152"/>
  <c r="D148"/>
  <c r="D142"/>
  <c r="D138"/>
  <c r="D134"/>
  <c r="D222" s="1"/>
  <c r="D128"/>
  <c r="D124"/>
  <c r="D120"/>
  <c r="D114"/>
  <c r="D202" s="1"/>
  <c r="D108"/>
  <c r="D104"/>
  <c r="D100"/>
  <c r="D96"/>
  <c r="D184" s="1"/>
  <c r="E177"/>
  <c r="E171"/>
  <c r="E167"/>
  <c r="E163"/>
  <c r="E157"/>
  <c r="E151"/>
  <c r="E147"/>
  <c r="E141"/>
  <c r="E137"/>
  <c r="E131"/>
  <c r="E127"/>
  <c r="E123"/>
  <c r="E117"/>
  <c r="E113"/>
  <c r="E107"/>
  <c r="E103"/>
  <c r="E99"/>
  <c r="E95"/>
  <c r="F175"/>
  <c r="F168"/>
  <c r="F164"/>
  <c r="F157"/>
  <c r="F150"/>
  <c r="F146"/>
  <c r="F139"/>
  <c r="F135"/>
  <c r="F128"/>
  <c r="F124"/>
  <c r="F120"/>
  <c r="F113"/>
  <c r="F106"/>
  <c r="F102"/>
  <c r="F98"/>
  <c r="G180"/>
  <c r="G175"/>
  <c r="G169"/>
  <c r="G165"/>
  <c r="G159"/>
  <c r="G153"/>
  <c r="G149"/>
  <c r="G145"/>
  <c r="G139"/>
  <c r="G135"/>
  <c r="G129"/>
  <c r="G125"/>
  <c r="G121"/>
  <c r="G115"/>
  <c r="G109"/>
  <c r="G105"/>
  <c r="G101"/>
  <c r="G97"/>
  <c r="H178"/>
  <c r="H172"/>
  <c r="H168"/>
  <c r="H164"/>
  <c r="H158"/>
  <c r="H152"/>
  <c r="H148"/>
  <c r="H142"/>
  <c r="H138"/>
  <c r="H134"/>
  <c r="H128"/>
  <c r="H124"/>
  <c r="H120"/>
  <c r="H114"/>
  <c r="H108"/>
  <c r="H104"/>
  <c r="H100"/>
  <c r="H96"/>
  <c r="I177"/>
  <c r="I171"/>
  <c r="I167"/>
  <c r="I163"/>
  <c r="I157"/>
  <c r="I151"/>
  <c r="I147"/>
  <c r="I141"/>
  <c r="I137"/>
  <c r="I131"/>
  <c r="I127"/>
  <c r="I123"/>
  <c r="I117"/>
  <c r="I113"/>
  <c r="I107"/>
  <c r="I103"/>
  <c r="I99"/>
  <c r="I95"/>
  <c r="F131"/>
  <c r="F117"/>
  <c r="F160"/>
  <c r="F110"/>
  <c r="F153"/>
  <c r="F172"/>
  <c r="F142"/>
  <c r="F180"/>
  <c r="Y86" i="12"/>
  <c r="W76"/>
  <c r="W77" s="1"/>
  <c r="S76"/>
  <c r="S77" s="1"/>
  <c r="O76"/>
  <c r="O77" s="1"/>
  <c r="X76"/>
  <c r="X77" s="1"/>
  <c r="T76"/>
  <c r="T77" s="1"/>
  <c r="P76"/>
  <c r="P77" s="1"/>
  <c r="Y28"/>
  <c r="M75" i="2"/>
  <c r="U76" i="12"/>
  <c r="U77" s="1"/>
  <c r="Q76"/>
  <c r="Q77" s="1"/>
  <c r="M76"/>
  <c r="M77" s="1"/>
  <c r="AC47" i="1"/>
  <c r="AC175" s="1"/>
  <c r="AC106"/>
  <c r="M151"/>
  <c r="Y47"/>
  <c r="O137"/>
  <c r="X47"/>
  <c r="P47"/>
  <c r="K47"/>
  <c r="K108" s="1"/>
  <c r="K129" s="1"/>
  <c r="K253" s="1"/>
  <c r="T240"/>
  <c r="H142"/>
  <c r="AB106"/>
  <c r="AB232" s="1"/>
  <c r="AC108"/>
  <c r="AC129" s="1"/>
  <c r="AC253" s="1"/>
  <c r="T47"/>
  <c r="V87" i="12"/>
  <c r="T86"/>
  <c r="P16"/>
  <c r="H14" i="19"/>
  <c r="M30" i="12"/>
  <c r="M80" s="1"/>
  <c r="M82" s="1"/>
  <c r="M108" i="1"/>
  <c r="Z47"/>
  <c r="Z175" s="1"/>
  <c r="W47"/>
  <c r="W108" s="1"/>
  <c r="W234" s="1"/>
  <c r="K106"/>
  <c r="O106"/>
  <c r="AB57"/>
  <c r="F193"/>
  <c r="H160"/>
  <c r="AD47"/>
  <c r="AD175" s="1"/>
  <c r="N87" i="12"/>
  <c r="AB108" i="1"/>
  <c r="AB234" s="1"/>
  <c r="P108"/>
  <c r="P129" s="1"/>
  <c r="P253" s="1"/>
  <c r="R87" i="12"/>
  <c r="X180" i="1"/>
  <c r="O108"/>
  <c r="O129" s="1"/>
  <c r="O253" s="1"/>
  <c r="L86" i="12"/>
  <c r="T16"/>
  <c r="H47" i="1"/>
  <c r="H175" s="1"/>
  <c r="L106"/>
  <c r="L232" s="1"/>
  <c r="X86" i="12"/>
  <c r="Y76"/>
  <c r="Y77" s="1"/>
  <c r="P86"/>
  <c r="L16"/>
  <c r="V86"/>
  <c r="X16"/>
  <c r="J30"/>
  <c r="I106" i="1"/>
  <c r="H193"/>
  <c r="AC224"/>
  <c r="AD215"/>
  <c r="P154"/>
  <c r="K188"/>
  <c r="S215"/>
  <c r="H187"/>
  <c r="AB189"/>
  <c r="Z169"/>
  <c r="R202"/>
  <c r="P217"/>
  <c r="H251"/>
  <c r="AB138"/>
  <c r="P140"/>
  <c r="L216"/>
  <c r="O199"/>
  <c r="Y175"/>
  <c r="S147"/>
  <c r="P232"/>
  <c r="Y230"/>
  <c r="F205"/>
  <c r="H144"/>
  <c r="H182"/>
  <c r="H210"/>
  <c r="H221"/>
  <c r="H141"/>
  <c r="AC157"/>
  <c r="AD174"/>
  <c r="AD246"/>
  <c r="AB216"/>
  <c r="AB180"/>
  <c r="T141"/>
  <c r="Z168"/>
  <c r="K160"/>
  <c r="S157"/>
  <c r="L195"/>
  <c r="X226"/>
  <c r="W209"/>
  <c r="S194"/>
  <c r="W224"/>
  <c r="P206"/>
  <c r="Q249"/>
  <c r="L230"/>
  <c r="F138"/>
  <c r="H140"/>
  <c r="H218"/>
  <c r="H212"/>
  <c r="H171"/>
  <c r="H169"/>
  <c r="AC204"/>
  <c r="AD155"/>
  <c r="AB157"/>
  <c r="T169"/>
  <c r="L159"/>
  <c r="Q138"/>
  <c r="X142"/>
  <c r="K169"/>
  <c r="S208"/>
  <c r="P196"/>
  <c r="W225"/>
  <c r="K206"/>
  <c r="X194"/>
  <c r="P222"/>
  <c r="O152"/>
  <c r="W173"/>
  <c r="Y147"/>
  <c r="U147"/>
  <c r="F219"/>
  <c r="H243"/>
  <c r="H161"/>
  <c r="H183"/>
  <c r="H211"/>
  <c r="H220"/>
  <c r="AD201"/>
  <c r="AD140"/>
  <c r="AB182"/>
  <c r="P186"/>
  <c r="L153"/>
  <c r="S152"/>
  <c r="T164"/>
  <c r="Q202"/>
  <c r="Q242"/>
  <c r="Z217"/>
  <c r="T201"/>
  <c r="T239"/>
  <c r="K213"/>
  <c r="O246"/>
  <c r="H76" i="12"/>
  <c r="H77" s="1"/>
  <c r="H75"/>
  <c r="H81" s="1"/>
  <c r="G81" s="1"/>
  <c r="L147" i="1"/>
  <c r="F158"/>
  <c r="F159"/>
  <c r="F134"/>
  <c r="F206"/>
  <c r="H219"/>
  <c r="H178"/>
  <c r="H191"/>
  <c r="H165"/>
  <c r="H156"/>
  <c r="H245"/>
  <c r="H216"/>
  <c r="H241"/>
  <c r="H181"/>
  <c r="H157"/>
  <c r="H138"/>
  <c r="H237"/>
  <c r="H208"/>
  <c r="H250"/>
  <c r="H158"/>
  <c r="H247"/>
  <c r="H222"/>
  <c r="H213"/>
  <c r="H167"/>
  <c r="Y75" i="12"/>
  <c r="Y81" s="1"/>
  <c r="AC188" i="1"/>
  <c r="AC237"/>
  <c r="AC171"/>
  <c r="AD183"/>
  <c r="AD207"/>
  <c r="AD203"/>
  <c r="AD159"/>
  <c r="AD151"/>
  <c r="AD212"/>
  <c r="AD214"/>
  <c r="AD179"/>
  <c r="AB171"/>
  <c r="AB139"/>
  <c r="AB140"/>
  <c r="AB241"/>
  <c r="AB217"/>
  <c r="AB190"/>
  <c r="L189"/>
  <c r="L161"/>
  <c r="L145"/>
  <c r="K189"/>
  <c r="X166"/>
  <c r="L146"/>
  <c r="X188"/>
  <c r="Y161"/>
  <c r="T143"/>
  <c r="X186"/>
  <c r="T165"/>
  <c r="U156"/>
  <c r="V144"/>
  <c r="P138"/>
  <c r="K153"/>
  <c r="L160"/>
  <c r="M167"/>
  <c r="Q186"/>
  <c r="S192"/>
  <c r="T199"/>
  <c r="K204"/>
  <c r="K212"/>
  <c r="O221"/>
  <c r="U238"/>
  <c r="W193"/>
  <c r="X200"/>
  <c r="O205"/>
  <c r="L212"/>
  <c r="X222"/>
  <c r="R228"/>
  <c r="K190"/>
  <c r="L197"/>
  <c r="U204"/>
  <c r="X212"/>
  <c r="T219"/>
  <c r="S228"/>
  <c r="P190"/>
  <c r="V196"/>
  <c r="W203"/>
  <c r="V210"/>
  <c r="T218"/>
  <c r="L237"/>
  <c r="L229"/>
  <c r="Q243"/>
  <c r="O151"/>
  <c r="W142"/>
  <c r="P170"/>
  <c r="I213"/>
  <c r="S175"/>
  <c r="M147"/>
  <c r="Z173"/>
  <c r="V173"/>
  <c r="P147"/>
  <c r="N232"/>
  <c r="S173"/>
  <c r="L183"/>
  <c r="O230"/>
  <c r="S230"/>
  <c r="W230"/>
  <c r="K147"/>
  <c r="F188"/>
  <c r="F250"/>
  <c r="F200"/>
  <c r="F215"/>
  <c r="H166"/>
  <c r="H152"/>
  <c r="H170"/>
  <c r="H139"/>
  <c r="H238"/>
  <c r="H225"/>
  <c r="H200"/>
  <c r="H214"/>
  <c r="H162"/>
  <c r="H147"/>
  <c r="H226"/>
  <c r="H217"/>
  <c r="H192"/>
  <c r="H239"/>
  <c r="H228"/>
  <c r="H227"/>
  <c r="H190"/>
  <c r="H197"/>
  <c r="H151"/>
  <c r="H240"/>
  <c r="AC197"/>
  <c r="AC199"/>
  <c r="AD229"/>
  <c r="AD219"/>
  <c r="AD137"/>
  <c r="AD139"/>
  <c r="AD199"/>
  <c r="AD211"/>
  <c r="AD181"/>
  <c r="AB193"/>
  <c r="AB144"/>
  <c r="AB246"/>
  <c r="AB215"/>
  <c r="AB163"/>
  <c r="AB156"/>
  <c r="M165"/>
  <c r="V151"/>
  <c r="L137"/>
  <c r="M169"/>
  <c r="T154"/>
  <c r="N138"/>
  <c r="P165"/>
  <c r="P146"/>
  <c r="L188"/>
  <c r="W167"/>
  <c r="S158"/>
  <c r="P150"/>
  <c r="O139"/>
  <c r="L152"/>
  <c r="M159"/>
  <c r="S165"/>
  <c r="T172"/>
  <c r="T191"/>
  <c r="K196"/>
  <c r="L203"/>
  <c r="T211"/>
  <c r="Q219"/>
  <c r="K228"/>
  <c r="X192"/>
  <c r="O197"/>
  <c r="P204"/>
  <c r="U211"/>
  <c r="S219"/>
  <c r="U227"/>
  <c r="W242"/>
  <c r="U196"/>
  <c r="S202"/>
  <c r="S209"/>
  <c r="Q217"/>
  <c r="P226"/>
  <c r="L241"/>
  <c r="W195"/>
  <c r="X202"/>
  <c r="O207"/>
  <c r="O215"/>
  <c r="S224"/>
  <c r="X225"/>
  <c r="K244"/>
  <c r="W134"/>
  <c r="K178"/>
  <c r="O166"/>
  <c r="I86" i="12"/>
  <c r="Q147" i="1"/>
  <c r="L173"/>
  <c r="X173"/>
  <c r="T173"/>
  <c r="U232"/>
  <c r="Q173"/>
  <c r="O173"/>
  <c r="K230"/>
  <c r="Q230"/>
  <c r="U230"/>
  <c r="Q131" i="8"/>
  <c r="M153"/>
  <c r="U178"/>
  <c r="F238" i="1"/>
  <c r="F150"/>
  <c r="F213"/>
  <c r="H230"/>
  <c r="H248"/>
  <c r="H207"/>
  <c r="H202"/>
  <c r="H172"/>
  <c r="H137"/>
  <c r="H203"/>
  <c r="H159"/>
  <c r="H199"/>
  <c r="H194"/>
  <c r="H164"/>
  <c r="H145"/>
  <c r="H244"/>
  <c r="H189"/>
  <c r="H153"/>
  <c r="H242"/>
  <c r="H229"/>
  <c r="H204"/>
  <c r="AC159"/>
  <c r="AC209"/>
  <c r="AC152"/>
  <c r="AD208"/>
  <c r="AD190"/>
  <c r="AD138"/>
  <c r="AD134"/>
  <c r="AD146"/>
  <c r="AD228"/>
  <c r="AB170"/>
  <c r="AB248"/>
  <c r="AB229"/>
  <c r="AB214"/>
  <c r="AB251"/>
  <c r="AB141"/>
  <c r="AB164"/>
  <c r="V75" i="12"/>
  <c r="V81" s="1"/>
  <c r="R86"/>
  <c r="S187" i="1"/>
  <c r="L158"/>
  <c r="U144"/>
  <c r="M187"/>
  <c r="X163"/>
  <c r="X144"/>
  <c r="T171"/>
  <c r="X157"/>
  <c r="L139"/>
  <c r="X171"/>
  <c r="O162"/>
  <c r="L154"/>
  <c r="W143"/>
  <c r="Z134"/>
  <c r="T156"/>
  <c r="K161"/>
  <c r="L168"/>
  <c r="L187"/>
  <c r="Q194"/>
  <c r="S200"/>
  <c r="T207"/>
  <c r="T214"/>
  <c r="T224"/>
  <c r="S240"/>
  <c r="Z194"/>
  <c r="W201"/>
  <c r="X208"/>
  <c r="W215"/>
  <c r="O223"/>
  <c r="T237"/>
  <c r="T193"/>
  <c r="K198"/>
  <c r="L205"/>
  <c r="O213"/>
  <c r="W221"/>
  <c r="P237"/>
  <c r="O191"/>
  <c r="P198"/>
  <c r="N204"/>
  <c r="S211"/>
  <c r="L220"/>
  <c r="W210"/>
  <c r="S243"/>
  <c r="P248"/>
  <c r="K179"/>
  <c r="Y87" i="12"/>
  <c r="Y16"/>
  <c r="U87"/>
  <c r="U16"/>
  <c r="Q87"/>
  <c r="Q86"/>
  <c r="Q16"/>
  <c r="M87"/>
  <c r="M86"/>
  <c r="N75"/>
  <c r="N81" s="1"/>
  <c r="N86"/>
  <c r="I145" i="1"/>
  <c r="W251"/>
  <c r="W145"/>
  <c r="W180"/>
  <c r="W156"/>
  <c r="Z182"/>
  <c r="W163"/>
  <c r="O182"/>
  <c r="K171"/>
  <c r="S138"/>
  <c r="W166"/>
  <c r="T249"/>
  <c r="N134"/>
  <c r="K245"/>
  <c r="O248"/>
  <c r="L134"/>
  <c r="X246"/>
  <c r="O239"/>
  <c r="Z227"/>
  <c r="T221"/>
  <c r="L213"/>
  <c r="S241"/>
  <c r="Q226"/>
  <c r="L223"/>
  <c r="S221"/>
  <c r="K219"/>
  <c r="K216"/>
  <c r="R214"/>
  <c r="T212"/>
  <c r="L210"/>
  <c r="R208"/>
  <c r="W207"/>
  <c r="X206"/>
  <c r="O203"/>
  <c r="P202"/>
  <c r="Z200"/>
  <c r="W199"/>
  <c r="X198"/>
  <c r="O195"/>
  <c r="P194"/>
  <c r="R192"/>
  <c r="W191"/>
  <c r="X190"/>
  <c r="K240"/>
  <c r="W238"/>
  <c r="U229"/>
  <c r="L227"/>
  <c r="S225"/>
  <c r="P223"/>
  <c r="P220"/>
  <c r="X218"/>
  <c r="T216"/>
  <c r="L214"/>
  <c r="N212"/>
  <c r="W211"/>
  <c r="U208"/>
  <c r="S206"/>
  <c r="T205"/>
  <c r="K202"/>
  <c r="L201"/>
  <c r="U200"/>
  <c r="S198"/>
  <c r="T197"/>
  <c r="K194"/>
  <c r="L193"/>
  <c r="U192"/>
  <c r="S190"/>
  <c r="P241"/>
  <c r="K238"/>
  <c r="S229"/>
  <c r="K227"/>
  <c r="M225"/>
  <c r="P224"/>
  <c r="Y223"/>
  <c r="O220"/>
  <c r="L218"/>
  <c r="X216"/>
  <c r="N213"/>
  <c r="K211"/>
  <c r="T210"/>
  <c r="P208"/>
  <c r="V206"/>
  <c r="W205"/>
  <c r="X204"/>
  <c r="O201"/>
  <c r="P200"/>
  <c r="N198"/>
  <c r="W197"/>
  <c r="X196"/>
  <c r="O193"/>
  <c r="P192"/>
  <c r="V190"/>
  <c r="O241"/>
  <c r="L239"/>
  <c r="X237"/>
  <c r="O227"/>
  <c r="V225"/>
  <c r="X223"/>
  <c r="X220"/>
  <c r="P218"/>
  <c r="K215"/>
  <c r="R213"/>
  <c r="V212"/>
  <c r="K209"/>
  <c r="L207"/>
  <c r="Q206"/>
  <c r="S204"/>
  <c r="T203"/>
  <c r="K200"/>
  <c r="L199"/>
  <c r="Q198"/>
  <c r="S196"/>
  <c r="T195"/>
  <c r="K192"/>
  <c r="L191"/>
  <c r="Q190"/>
  <c r="S188"/>
  <c r="T187"/>
  <c r="L172"/>
  <c r="M171"/>
  <c r="S169"/>
  <c r="T168"/>
  <c r="K165"/>
  <c r="L164"/>
  <c r="M163"/>
  <c r="S161"/>
  <c r="T160"/>
  <c r="K157"/>
  <c r="L156"/>
  <c r="M155"/>
  <c r="S153"/>
  <c r="T152"/>
  <c r="R146"/>
  <c r="X138"/>
  <c r="W139"/>
  <c r="R140"/>
  <c r="P142"/>
  <c r="O143"/>
  <c r="T146"/>
  <c r="W151"/>
  <c r="P153"/>
  <c r="S155"/>
  <c r="L157"/>
  <c r="O159"/>
  <c r="M161"/>
  <c r="K163"/>
  <c r="P166"/>
  <c r="L167"/>
  <c r="W170"/>
  <c r="U172"/>
  <c r="N186"/>
  <c r="S189"/>
  <c r="T139"/>
  <c r="Q142"/>
  <c r="L143"/>
  <c r="L150"/>
  <c r="T155"/>
  <c r="V159"/>
  <c r="P162"/>
  <c r="L166"/>
  <c r="X170"/>
  <c r="O186"/>
  <c r="T189"/>
  <c r="X140"/>
  <c r="R142"/>
  <c r="P144"/>
  <c r="T151"/>
  <c r="T157"/>
  <c r="P161"/>
  <c r="U164"/>
  <c r="V168"/>
  <c r="P171"/>
  <c r="W187"/>
  <c r="U189"/>
  <c r="T137"/>
  <c r="U140"/>
  <c r="L141"/>
  <c r="T145"/>
  <c r="M146"/>
  <c r="T153"/>
  <c r="N156"/>
  <c r="U160"/>
  <c r="T163"/>
  <c r="P167"/>
  <c r="W186"/>
  <c r="P188"/>
  <c r="AB158"/>
  <c r="AB147"/>
  <c r="AB178"/>
  <c r="AB209"/>
  <c r="AB143"/>
  <c r="AB239"/>
  <c r="AB169"/>
  <c r="AB173"/>
  <c r="AB146"/>
  <c r="AB188"/>
  <c r="AB222"/>
  <c r="AB150"/>
  <c r="AB213"/>
  <c r="AB207"/>
  <c r="AB225"/>
  <c r="AB161"/>
  <c r="AB167"/>
  <c r="AB250"/>
  <c r="AB199"/>
  <c r="AB205"/>
  <c r="AB186"/>
  <c r="AB208"/>
  <c r="AB137"/>
  <c r="AB230"/>
  <c r="AB211"/>
  <c r="AB134"/>
  <c r="AD180"/>
  <c r="AD188"/>
  <c r="AD166"/>
  <c r="AD218"/>
  <c r="AD213"/>
  <c r="AD244"/>
  <c r="AD186"/>
  <c r="AD170"/>
  <c r="AD242"/>
  <c r="AD192"/>
  <c r="AD249"/>
  <c r="AD164"/>
  <c r="AD145"/>
  <c r="AD168"/>
  <c r="AD149"/>
  <c r="AD172"/>
  <c r="AD153"/>
  <c r="AD135"/>
  <c r="AD222"/>
  <c r="AD224"/>
  <c r="AD233"/>
  <c r="AD144"/>
  <c r="AD205"/>
  <c r="AD238"/>
  <c r="AD200"/>
  <c r="AD240"/>
  <c r="AC173"/>
  <c r="AC158"/>
  <c r="AC249"/>
  <c r="AC245"/>
  <c r="AC244"/>
  <c r="AC206"/>
  <c r="AC191"/>
  <c r="U251"/>
  <c r="K137"/>
  <c r="X179"/>
  <c r="K144"/>
  <c r="W181"/>
  <c r="S154"/>
  <c r="P181"/>
  <c r="K162"/>
  <c r="P182"/>
  <c r="K158"/>
  <c r="S250"/>
  <c r="P245"/>
  <c r="N246"/>
  <c r="R249"/>
  <c r="L243"/>
  <c r="W247"/>
  <c r="T242"/>
  <c r="Q228"/>
  <c r="S222"/>
  <c r="K214"/>
  <c r="X209"/>
  <c r="M227"/>
  <c r="X224"/>
  <c r="U222"/>
  <c r="W220"/>
  <c r="W217"/>
  <c r="T215"/>
  <c r="O212"/>
  <c r="X211"/>
  <c r="O209"/>
  <c r="S207"/>
  <c r="T206"/>
  <c r="K203"/>
  <c r="L202"/>
  <c r="Y201"/>
  <c r="S199"/>
  <c r="T198"/>
  <c r="K195"/>
  <c r="L194"/>
  <c r="Y193"/>
  <c r="S191"/>
  <c r="T190"/>
  <c r="W241"/>
  <c r="Y239"/>
  <c r="O229"/>
  <c r="X228"/>
  <c r="N225"/>
  <c r="K223"/>
  <c r="K220"/>
  <c r="M218"/>
  <c r="O216"/>
  <c r="X215"/>
  <c r="U213"/>
  <c r="L211"/>
  <c r="L208"/>
  <c r="O206"/>
  <c r="P205"/>
  <c r="N203"/>
  <c r="W202"/>
  <c r="X201"/>
  <c r="O198"/>
  <c r="P197"/>
  <c r="V195"/>
  <c r="W194"/>
  <c r="X193"/>
  <c r="O190"/>
  <c r="K241"/>
  <c r="X239"/>
  <c r="Z237"/>
  <c r="W228"/>
  <c r="T226"/>
  <c r="K224"/>
  <c r="T223"/>
  <c r="K221"/>
  <c r="X219"/>
  <c r="S216"/>
  <c r="P214"/>
  <c r="W212"/>
  <c r="N210"/>
  <c r="K208"/>
  <c r="Q207"/>
  <c r="S205"/>
  <c r="T204"/>
  <c r="K201"/>
  <c r="L200"/>
  <c r="Q199"/>
  <c r="S197"/>
  <c r="T196"/>
  <c r="K193"/>
  <c r="L192"/>
  <c r="Q191"/>
  <c r="V242"/>
  <c r="X240"/>
  <c r="S237"/>
  <c r="P228"/>
  <c r="K225"/>
  <c r="S223"/>
  <c r="S220"/>
  <c r="W219"/>
  <c r="W216"/>
  <c r="Y214"/>
  <c r="P212"/>
  <c r="X210"/>
  <c r="W208"/>
  <c r="X207"/>
  <c r="O204"/>
  <c r="P203"/>
  <c r="N201"/>
  <c r="W200"/>
  <c r="X199"/>
  <c r="O196"/>
  <c r="P195"/>
  <c r="V193"/>
  <c r="W192"/>
  <c r="X191"/>
  <c r="O188"/>
  <c r="P187"/>
  <c r="Z178"/>
  <c r="X172"/>
  <c r="O169"/>
  <c r="P168"/>
  <c r="R166"/>
  <c r="W165"/>
  <c r="X164"/>
  <c r="O161"/>
  <c r="P160"/>
  <c r="Z158"/>
  <c r="W157"/>
  <c r="X156"/>
  <c r="O153"/>
  <c r="P152"/>
  <c r="R150"/>
  <c r="Q137"/>
  <c r="L138"/>
  <c r="K139"/>
  <c r="T142"/>
  <c r="S143"/>
  <c r="Q145"/>
  <c r="K150"/>
  <c r="N152"/>
  <c r="X155"/>
  <c r="O156"/>
  <c r="T159"/>
  <c r="X161"/>
  <c r="P163"/>
  <c r="N165"/>
  <c r="R167"/>
  <c r="P169"/>
  <c r="S171"/>
  <c r="S186"/>
  <c r="X189"/>
  <c r="X139"/>
  <c r="Z141"/>
  <c r="P143"/>
  <c r="Q150"/>
  <c r="X154"/>
  <c r="T158"/>
  <c r="T161"/>
  <c r="Q166"/>
  <c r="L169"/>
  <c r="T186"/>
  <c r="Y189"/>
  <c r="U139"/>
  <c r="L140"/>
  <c r="T144"/>
  <c r="X150"/>
  <c r="P155"/>
  <c r="Z161"/>
  <c r="N163"/>
  <c r="T167"/>
  <c r="T170"/>
  <c r="K186"/>
  <c r="T188"/>
  <c r="X137"/>
  <c r="V139"/>
  <c r="P141"/>
  <c r="X145"/>
  <c r="X146"/>
  <c r="P151"/>
  <c r="L155"/>
  <c r="X159"/>
  <c r="X162"/>
  <c r="T166"/>
  <c r="L171"/>
  <c r="N187"/>
  <c r="AB200"/>
  <c r="AB242"/>
  <c r="AB210"/>
  <c r="AB240"/>
  <c r="AB226"/>
  <c r="AB142"/>
  <c r="AB238"/>
  <c r="AB201"/>
  <c r="AB197"/>
  <c r="AB220"/>
  <c r="AB168"/>
  <c r="AB187"/>
  <c r="AB151"/>
  <c r="AB247"/>
  <c r="AB175"/>
  <c r="AB202"/>
  <c r="AB196"/>
  <c r="AB183"/>
  <c r="AB219"/>
  <c r="AB245"/>
  <c r="AB218"/>
  <c r="AB224"/>
  <c r="AB155"/>
  <c r="AB152"/>
  <c r="AB227"/>
  <c r="AB154"/>
  <c r="AD182"/>
  <c r="AD187"/>
  <c r="AD150"/>
  <c r="AD198"/>
  <c r="AD204"/>
  <c r="AD227"/>
  <c r="AD247"/>
  <c r="AD154"/>
  <c r="AD225"/>
  <c r="AD237"/>
  <c r="AD248"/>
  <c r="AD167"/>
  <c r="AD148"/>
  <c r="AD171"/>
  <c r="AD152"/>
  <c r="AD136"/>
  <c r="AD156"/>
  <c r="AD163"/>
  <c r="AD209"/>
  <c r="AD206"/>
  <c r="AD220"/>
  <c r="AD236"/>
  <c r="AD189"/>
  <c r="AD221"/>
  <c r="AD217"/>
  <c r="AD223"/>
  <c r="AD147"/>
  <c r="AC135"/>
  <c r="AC138"/>
  <c r="AC166"/>
  <c r="AC167"/>
  <c r="AC192"/>
  <c r="I228"/>
  <c r="X251"/>
  <c r="K156"/>
  <c r="U182"/>
  <c r="S166"/>
  <c r="M183"/>
  <c r="W172"/>
  <c r="K141"/>
  <c r="L178"/>
  <c r="S144"/>
  <c r="S172"/>
  <c r="R247"/>
  <c r="O249"/>
  <c r="L244"/>
  <c r="P247"/>
  <c r="L250"/>
  <c r="V244"/>
  <c r="P238"/>
  <c r="W226"/>
  <c r="O218"/>
  <c r="Q212"/>
  <c r="P239"/>
  <c r="O225"/>
  <c r="W223"/>
  <c r="Y221"/>
  <c r="P219"/>
  <c r="P216"/>
  <c r="X214"/>
  <c r="M211"/>
  <c r="Q210"/>
  <c r="K207"/>
  <c r="L206"/>
  <c r="Y205"/>
  <c r="S203"/>
  <c r="T202"/>
  <c r="K199"/>
  <c r="L198"/>
  <c r="Y197"/>
  <c r="S195"/>
  <c r="T194"/>
  <c r="K191"/>
  <c r="L190"/>
  <c r="S242"/>
  <c r="P240"/>
  <c r="K237"/>
  <c r="Z229"/>
  <c r="W227"/>
  <c r="L224"/>
  <c r="T222"/>
  <c r="O219"/>
  <c r="K217"/>
  <c r="Z216"/>
  <c r="V214"/>
  <c r="S212"/>
  <c r="P210"/>
  <c r="R207"/>
  <c r="W206"/>
  <c r="X205"/>
  <c r="O202"/>
  <c r="P201"/>
  <c r="Z199"/>
  <c r="W198"/>
  <c r="X197"/>
  <c r="O194"/>
  <c r="P193"/>
  <c r="R191"/>
  <c r="W190"/>
  <c r="O240"/>
  <c r="O237"/>
  <c r="L228"/>
  <c r="P227"/>
  <c r="R225"/>
  <c r="V224"/>
  <c r="R222"/>
  <c r="T220"/>
  <c r="O217"/>
  <c r="L215"/>
  <c r="S213"/>
  <c r="P211"/>
  <c r="M209"/>
  <c r="T208"/>
  <c r="K205"/>
  <c r="L204"/>
  <c r="Q203"/>
  <c r="S201"/>
  <c r="T200"/>
  <c r="K197"/>
  <c r="L196"/>
  <c r="Q195"/>
  <c r="S193"/>
  <c r="T192"/>
  <c r="K242"/>
  <c r="T241"/>
  <c r="O238"/>
  <c r="W229"/>
  <c r="T227"/>
  <c r="O224"/>
  <c r="L222"/>
  <c r="L219"/>
  <c r="S217"/>
  <c r="P215"/>
  <c r="W213"/>
  <c r="O211"/>
  <c r="O208"/>
  <c r="P207"/>
  <c r="R205"/>
  <c r="W204"/>
  <c r="X203"/>
  <c r="O200"/>
  <c r="P199"/>
  <c r="Z197"/>
  <c r="W196"/>
  <c r="X195"/>
  <c r="O192"/>
  <c r="P191"/>
  <c r="R189"/>
  <c r="W188"/>
  <c r="X187"/>
  <c r="P172"/>
  <c r="V170"/>
  <c r="W169"/>
  <c r="X168"/>
  <c r="O165"/>
  <c r="P164"/>
  <c r="N162"/>
  <c r="W161"/>
  <c r="X160"/>
  <c r="O157"/>
  <c r="P156"/>
  <c r="V154"/>
  <c r="W153"/>
  <c r="X152"/>
  <c r="K145"/>
  <c r="T138"/>
  <c r="S139"/>
  <c r="Q141"/>
  <c r="L142"/>
  <c r="K143"/>
  <c r="O146"/>
  <c r="L151"/>
  <c r="W154"/>
  <c r="Z156"/>
  <c r="X158"/>
  <c r="Q160"/>
  <c r="T162"/>
  <c r="W164"/>
  <c r="K166"/>
  <c r="S168"/>
  <c r="L170"/>
  <c r="O172"/>
  <c r="O187"/>
  <c r="V137"/>
  <c r="P139"/>
  <c r="X143"/>
  <c r="N145"/>
  <c r="X151"/>
  <c r="V156"/>
  <c r="P159"/>
  <c r="L163"/>
  <c r="X167"/>
  <c r="Z171"/>
  <c r="K187"/>
  <c r="O189"/>
  <c r="T140"/>
  <c r="U143"/>
  <c r="L144"/>
  <c r="X153"/>
  <c r="P158"/>
  <c r="L162"/>
  <c r="L165"/>
  <c r="X169"/>
  <c r="V186"/>
  <c r="R187"/>
  <c r="P189"/>
  <c r="P137"/>
  <c r="X141"/>
  <c r="Z143"/>
  <c r="P145"/>
  <c r="T150"/>
  <c r="N153"/>
  <c r="P157"/>
  <c r="V161"/>
  <c r="X165"/>
  <c r="R168"/>
  <c r="L186"/>
  <c r="W189"/>
  <c r="AB237"/>
  <c r="AB249"/>
  <c r="AB243"/>
  <c r="AB223"/>
  <c r="AB203"/>
  <c r="AB204"/>
  <c r="AB162"/>
  <c r="AB228"/>
  <c r="AB191"/>
  <c r="AB194"/>
  <c r="AB159"/>
  <c r="AB165"/>
  <c r="AB212"/>
  <c r="AB160"/>
  <c r="AB181"/>
  <c r="AB179"/>
  <c r="AB244"/>
  <c r="AB145"/>
  <c r="AB206"/>
  <c r="AB166"/>
  <c r="AB172"/>
  <c r="AB153"/>
  <c r="AB192"/>
  <c r="AB221"/>
  <c r="AB198"/>
  <c r="AB195"/>
  <c r="AD251"/>
  <c r="AD178"/>
  <c r="AD157"/>
  <c r="AD193"/>
  <c r="AD195"/>
  <c r="AD226"/>
  <c r="AD245"/>
  <c r="AD160"/>
  <c r="AD197"/>
  <c r="AD202"/>
  <c r="AD210"/>
  <c r="AD250"/>
  <c r="AD161"/>
  <c r="AD143"/>
  <c r="AD165"/>
  <c r="AD142"/>
  <c r="AD169"/>
  <c r="AD141"/>
  <c r="AD158"/>
  <c r="AD239"/>
  <c r="AD241"/>
  <c r="AD196"/>
  <c r="AD162"/>
  <c r="AD194"/>
  <c r="AD191"/>
  <c r="AD216"/>
  <c r="AD243"/>
  <c r="AC179"/>
  <c r="AC139"/>
  <c r="AC200"/>
  <c r="AC205"/>
  <c r="U124" i="8"/>
  <c r="U157"/>
  <c r="U146"/>
  <c r="U102"/>
  <c r="U168"/>
  <c r="Q164"/>
  <c r="Q129"/>
  <c r="M96"/>
  <c r="M115"/>
  <c r="F69" i="12"/>
  <c r="K75"/>
  <c r="J75"/>
  <c r="R76"/>
  <c r="R77" s="1"/>
  <c r="N76"/>
  <c r="N77" s="1"/>
  <c r="Y173" i="1"/>
  <c r="U173"/>
  <c r="W147"/>
  <c r="O147"/>
  <c r="O232"/>
  <c r="W232"/>
  <c r="P173"/>
  <c r="O183"/>
  <c r="K232"/>
  <c r="M173"/>
  <c r="M232"/>
  <c r="M230"/>
  <c r="P230"/>
  <c r="T230"/>
  <c r="X230"/>
  <c r="M172" i="8"/>
  <c r="Q172"/>
  <c r="U131"/>
  <c r="H188" i="1"/>
  <c r="AD173"/>
  <c r="N117" i="8"/>
  <c r="N172"/>
  <c r="L84"/>
  <c r="M56" i="1" s="1"/>
  <c r="M110" i="8"/>
  <c r="P34" i="12"/>
  <c r="P47" s="1"/>
  <c r="P53" s="1"/>
  <c r="L131" i="8"/>
  <c r="K172"/>
  <c r="M131"/>
  <c r="M178"/>
  <c r="Q84"/>
  <c r="Y84"/>
  <c r="Z56" i="1" s="1"/>
  <c r="X117" i="8"/>
  <c r="U117"/>
  <c r="U110"/>
  <c r="Q178"/>
  <c r="R131"/>
  <c r="S160"/>
  <c r="U153"/>
  <c r="W142"/>
  <c r="W160"/>
  <c r="J142"/>
  <c r="Y109"/>
  <c r="U175"/>
  <c r="U164"/>
  <c r="U150"/>
  <c r="Q140"/>
  <c r="U135"/>
  <c r="M126"/>
  <c r="Q121"/>
  <c r="U113"/>
  <c r="M104"/>
  <c r="Q99"/>
  <c r="J176"/>
  <c r="J165"/>
  <c r="J151"/>
  <c r="L108"/>
  <c r="S145"/>
  <c r="S129"/>
  <c r="S116"/>
  <c r="S101"/>
  <c r="N167"/>
  <c r="J145"/>
  <c r="J134"/>
  <c r="J123"/>
  <c r="J109"/>
  <c r="J99"/>
  <c r="S157"/>
  <c r="P176"/>
  <c r="Y100"/>
  <c r="X110"/>
  <c r="T99"/>
  <c r="P151"/>
  <c r="L104"/>
  <c r="N160"/>
  <c r="J84"/>
  <c r="O117"/>
  <c r="O110"/>
  <c r="M160"/>
  <c r="U84"/>
  <c r="V117"/>
  <c r="S117"/>
  <c r="Q142"/>
  <c r="R160"/>
  <c r="S178"/>
  <c r="U142"/>
  <c r="O153"/>
  <c r="V172"/>
  <c r="X160"/>
  <c r="J117"/>
  <c r="J160"/>
  <c r="J131"/>
  <c r="J110"/>
  <c r="AB84"/>
  <c r="Y156"/>
  <c r="U177"/>
  <c r="U166"/>
  <c r="U152"/>
  <c r="M141"/>
  <c r="Q136"/>
  <c r="U128"/>
  <c r="M122"/>
  <c r="Q114"/>
  <c r="U106"/>
  <c r="M100"/>
  <c r="Q95"/>
  <c r="J167"/>
  <c r="J156"/>
  <c r="L130"/>
  <c r="Q150"/>
  <c r="S134"/>
  <c r="S121"/>
  <c r="S105"/>
  <c r="N171"/>
  <c r="N149"/>
  <c r="J136"/>
  <c r="J125"/>
  <c r="J114"/>
  <c r="J102"/>
  <c r="K151"/>
  <c r="S171"/>
  <c r="I47" i="12"/>
  <c r="I57" s="1"/>
  <c r="M84" i="8"/>
  <c r="M117"/>
  <c r="K110"/>
  <c r="O178"/>
  <c r="W84"/>
  <c r="R117"/>
  <c r="Q117"/>
  <c r="R110"/>
  <c r="Q160"/>
  <c r="Q110"/>
  <c r="S131"/>
  <c r="Q153"/>
  <c r="K153"/>
  <c r="U172"/>
  <c r="Y152"/>
  <c r="U170"/>
  <c r="U159"/>
  <c r="U148"/>
  <c r="U139"/>
  <c r="M130"/>
  <c r="Q125"/>
  <c r="U120"/>
  <c r="M108"/>
  <c r="Q103"/>
  <c r="U98"/>
  <c r="J171"/>
  <c r="J163"/>
  <c r="J149"/>
  <c r="Q175"/>
  <c r="S140"/>
  <c r="S127"/>
  <c r="S109"/>
  <c r="S99"/>
  <c r="N163"/>
  <c r="J140"/>
  <c r="J129"/>
  <c r="J121"/>
  <c r="J107"/>
  <c r="R97"/>
  <c r="S163"/>
  <c r="G84"/>
  <c r="H56" i="1" s="1"/>
  <c r="I84" i="8"/>
  <c r="J56" i="1" s="1"/>
  <c r="H84" i="8"/>
  <c r="I56" i="1" s="1"/>
  <c r="L142" i="8"/>
  <c r="L172"/>
  <c r="P131"/>
  <c r="P160"/>
  <c r="T160"/>
  <c r="X131"/>
  <c r="Y142"/>
  <c r="Y172"/>
  <c r="Y167"/>
  <c r="Y123"/>
  <c r="Y166"/>
  <c r="Y122"/>
  <c r="L137"/>
  <c r="L115"/>
  <c r="P165"/>
  <c r="X172"/>
  <c r="P180"/>
  <c r="L110"/>
  <c r="L117"/>
  <c r="L178"/>
  <c r="P142"/>
  <c r="P178"/>
  <c r="T117"/>
  <c r="T110"/>
  <c r="T142"/>
  <c r="P153"/>
  <c r="T178"/>
  <c r="X178"/>
  <c r="X153"/>
  <c r="Y110"/>
  <c r="Y160"/>
  <c r="Y134"/>
  <c r="Y177"/>
  <c r="Y130"/>
  <c r="L141"/>
  <c r="L122"/>
  <c r="L180"/>
  <c r="Y180"/>
  <c r="P110"/>
  <c r="P172"/>
  <c r="T180"/>
  <c r="T131"/>
  <c r="T172"/>
  <c r="X142"/>
  <c r="Y131"/>
  <c r="Y178"/>
  <c r="Y145"/>
  <c r="Y101"/>
  <c r="Y141"/>
  <c r="L126"/>
  <c r="K176"/>
  <c r="Q47" i="12"/>
  <c r="Q58" s="1"/>
  <c r="F62"/>
  <c r="Q4" i="8"/>
  <c r="P91"/>
  <c r="O180"/>
  <c r="P56" i="1"/>
  <c r="L34" i="12"/>
  <c r="L47" s="1"/>
  <c r="L58" s="1"/>
  <c r="X180" i="8"/>
  <c r="N84"/>
  <c r="K84"/>
  <c r="V84"/>
  <c r="S84"/>
  <c r="R34" i="12"/>
  <c r="R47" s="1"/>
  <c r="S136" i="8"/>
  <c r="S125"/>
  <c r="S114"/>
  <c r="S103"/>
  <c r="S95"/>
  <c r="S146"/>
  <c r="N47" i="12"/>
  <c r="N57" s="1"/>
  <c r="V47"/>
  <c r="V55" s="1"/>
  <c r="Y47"/>
  <c r="Y54" s="1"/>
  <c r="M47"/>
  <c r="M59" s="1"/>
  <c r="S47"/>
  <c r="S52" s="1"/>
  <c r="U47"/>
  <c r="U54" s="1"/>
  <c r="I62"/>
  <c r="X47"/>
  <c r="X56" s="1"/>
  <c r="W47"/>
  <c r="W59" s="1"/>
  <c r="F182" i="1"/>
  <c r="F165"/>
  <c r="F183"/>
  <c r="F194"/>
  <c r="F208"/>
  <c r="H180"/>
  <c r="H205"/>
  <c r="H154"/>
  <c r="H223"/>
  <c r="H186"/>
  <c r="H146"/>
  <c r="H209"/>
  <c r="H163"/>
  <c r="H150"/>
  <c r="H168"/>
  <c r="H134"/>
  <c r="H215"/>
  <c r="H173"/>
  <c r="H246"/>
  <c r="H201"/>
  <c r="H155"/>
  <c r="H224"/>
  <c r="H198"/>
  <c r="H196"/>
  <c r="H195"/>
  <c r="H143"/>
  <c r="H206"/>
  <c r="H179"/>
  <c r="H249"/>
  <c r="I87" i="12"/>
  <c r="R175" i="1"/>
  <c r="R173"/>
  <c r="Z232"/>
  <c r="W86" i="12"/>
  <c r="R165" i="1"/>
  <c r="Z163"/>
  <c r="N143"/>
  <c r="Z139"/>
  <c r="N188"/>
  <c r="R172"/>
  <c r="V165"/>
  <c r="N160"/>
  <c r="N157"/>
  <c r="V155"/>
  <c r="V152"/>
  <c r="V142"/>
  <c r="R138"/>
  <c r="Z186"/>
  <c r="N167"/>
  <c r="R163"/>
  <c r="V153"/>
  <c r="R145"/>
  <c r="N141"/>
  <c r="Z137"/>
  <c r="V188"/>
  <c r="Z172"/>
  <c r="N168"/>
  <c r="Z159"/>
  <c r="V157"/>
  <c r="N155"/>
  <c r="Z144"/>
  <c r="V140"/>
  <c r="N146"/>
  <c r="N150"/>
  <c r="R154"/>
  <c r="V158"/>
  <c r="Z162"/>
  <c r="N166"/>
  <c r="R170"/>
  <c r="N189"/>
  <c r="R193"/>
  <c r="V197"/>
  <c r="Z201"/>
  <c r="N205"/>
  <c r="R210"/>
  <c r="V222"/>
  <c r="Z224"/>
  <c r="N237"/>
  <c r="V239"/>
  <c r="Z241"/>
  <c r="R190"/>
  <c r="V194"/>
  <c r="Z198"/>
  <c r="N202"/>
  <c r="R206"/>
  <c r="R209"/>
  <c r="R212"/>
  <c r="Z214"/>
  <c r="V221"/>
  <c r="V241"/>
  <c r="R242"/>
  <c r="N191"/>
  <c r="R195"/>
  <c r="V199"/>
  <c r="Z203"/>
  <c r="N207"/>
  <c r="N209"/>
  <c r="Z213"/>
  <c r="N222"/>
  <c r="R224"/>
  <c r="Z226"/>
  <c r="N242"/>
  <c r="N192"/>
  <c r="R196"/>
  <c r="V200"/>
  <c r="Z204"/>
  <c r="N208"/>
  <c r="V213"/>
  <c r="N218"/>
  <c r="R220"/>
  <c r="N221"/>
  <c r="N224"/>
  <c r="V229"/>
  <c r="V223"/>
  <c r="R240"/>
  <c r="N245"/>
  <c r="N243"/>
  <c r="N179"/>
  <c r="Z181"/>
  <c r="Z147"/>
  <c r="N173"/>
  <c r="Z188"/>
  <c r="R186"/>
  <c r="V164"/>
  <c r="N159"/>
  <c r="Z157"/>
  <c r="V143"/>
  <c r="R139"/>
  <c r="V171"/>
  <c r="Z164"/>
  <c r="R159"/>
  <c r="R156"/>
  <c r="R153"/>
  <c r="Z151"/>
  <c r="N142"/>
  <c r="Z138"/>
  <c r="R188"/>
  <c r="V169"/>
  <c r="N164"/>
  <c r="N161"/>
  <c r="N151"/>
  <c r="Z145"/>
  <c r="V141"/>
  <c r="R137"/>
  <c r="Z187"/>
  <c r="Z153"/>
  <c r="R151"/>
  <c r="R144"/>
  <c r="N140"/>
  <c r="V146"/>
  <c r="V150"/>
  <c r="Z154"/>
  <c r="N158"/>
  <c r="R162"/>
  <c r="V166"/>
  <c r="Z170"/>
  <c r="V189"/>
  <c r="Z193"/>
  <c r="N197"/>
  <c r="R201"/>
  <c r="V205"/>
  <c r="N214"/>
  <c r="R216"/>
  <c r="Z218"/>
  <c r="Z221"/>
  <c r="R226"/>
  <c r="Z190"/>
  <c r="N194"/>
  <c r="R198"/>
  <c r="V202"/>
  <c r="Z206"/>
  <c r="N216"/>
  <c r="N226"/>
  <c r="N229"/>
  <c r="V238"/>
  <c r="V191"/>
  <c r="Z195"/>
  <c r="N199"/>
  <c r="R203"/>
  <c r="V207"/>
  <c r="V217"/>
  <c r="R218"/>
  <c r="V220"/>
  <c r="R221"/>
  <c r="N228"/>
  <c r="V237"/>
  <c r="R238"/>
  <c r="V192"/>
  <c r="Z196"/>
  <c r="N200"/>
  <c r="R204"/>
  <c r="V208"/>
  <c r="V216"/>
  <c r="R217"/>
  <c r="Z211"/>
  <c r="N215"/>
  <c r="Z248"/>
  <c r="R250"/>
  <c r="N180"/>
  <c r="V178"/>
  <c r="J87" i="12"/>
  <c r="R234" i="1"/>
  <c r="V147"/>
  <c r="R147"/>
  <c r="N230"/>
  <c r="R230"/>
  <c r="V230"/>
  <c r="Z230"/>
  <c r="N169"/>
  <c r="V167"/>
  <c r="Z160"/>
  <c r="R155"/>
  <c r="R152"/>
  <c r="R143"/>
  <c r="N139"/>
  <c r="R169"/>
  <c r="Z167"/>
  <c r="Z142"/>
  <c r="V138"/>
  <c r="V187"/>
  <c r="V172"/>
  <c r="Z165"/>
  <c r="R160"/>
  <c r="R157"/>
  <c r="Z155"/>
  <c r="Z152"/>
  <c r="V145"/>
  <c r="R141"/>
  <c r="N137"/>
  <c r="N171"/>
  <c r="R164"/>
  <c r="V163"/>
  <c r="R161"/>
  <c r="V160"/>
  <c r="N144"/>
  <c r="Z140"/>
  <c r="Z146"/>
  <c r="Z150"/>
  <c r="N154"/>
  <c r="R158"/>
  <c r="V162"/>
  <c r="Z166"/>
  <c r="N170"/>
  <c r="Z189"/>
  <c r="N193"/>
  <c r="R197"/>
  <c r="V201"/>
  <c r="Z205"/>
  <c r="V209"/>
  <c r="N217"/>
  <c r="N220"/>
  <c r="V228"/>
  <c r="R229"/>
  <c r="Z238"/>
  <c r="N190"/>
  <c r="R194"/>
  <c r="V198"/>
  <c r="Z202"/>
  <c r="N206"/>
  <c r="V218"/>
  <c r="Z220"/>
  <c r="R239"/>
  <c r="Z191"/>
  <c r="N195"/>
  <c r="R199"/>
  <c r="V203"/>
  <c r="Z207"/>
  <c r="Z210"/>
  <c r="N239"/>
  <c r="R241"/>
  <c r="Z192"/>
  <c r="N196"/>
  <c r="R200"/>
  <c r="V204"/>
  <c r="Z208"/>
  <c r="Z209"/>
  <c r="Z212"/>
  <c r="Z222"/>
  <c r="R219"/>
  <c r="R183"/>
  <c r="Q175"/>
  <c r="Q108"/>
  <c r="M129"/>
  <c r="M253" s="1"/>
  <c r="M234"/>
  <c r="T175"/>
  <c r="T108"/>
  <c r="L175"/>
  <c r="X108"/>
  <c r="X175"/>
  <c r="Z108"/>
  <c r="P175"/>
  <c r="R129"/>
  <c r="R253" s="1"/>
  <c r="V47"/>
  <c r="N147"/>
  <c r="T147"/>
  <c r="M175"/>
  <c r="O175"/>
  <c r="N47"/>
  <c r="U47"/>
  <c r="Q232"/>
  <c r="T232"/>
  <c r="S232"/>
  <c r="R232"/>
  <c r="W30" i="12"/>
  <c r="W80" s="1"/>
  <c r="W82" s="1"/>
  <c r="U30"/>
  <c r="U80" s="1"/>
  <c r="U82" s="1"/>
  <c r="S30"/>
  <c r="S80" s="1"/>
  <c r="S82" s="1"/>
  <c r="Q30"/>
  <c r="Q80" s="1"/>
  <c r="Q82" s="1"/>
  <c r="N30"/>
  <c r="K30"/>
  <c r="K173" i="1"/>
  <c r="K183"/>
  <c r="Y106"/>
  <c r="F198"/>
  <c r="F227"/>
  <c r="F146"/>
  <c r="F228"/>
  <c r="F189"/>
  <c r="F147"/>
  <c r="F145"/>
  <c r="AD106"/>
  <c r="AD230"/>
  <c r="AC183"/>
  <c r="F47"/>
  <c r="F175" s="1"/>
  <c r="I47"/>
  <c r="F106"/>
  <c r="F232" s="1"/>
  <c r="J14" i="19"/>
  <c r="J15" s="1"/>
  <c r="J24" s="1"/>
  <c r="J25" s="1"/>
  <c r="J47" i="1"/>
  <c r="J108" s="1"/>
  <c r="J129" s="1"/>
  <c r="S108"/>
  <c r="X147"/>
  <c r="O30" i="12"/>
  <c r="O80" s="1"/>
  <c r="O82" s="1"/>
  <c r="V232" i="1"/>
  <c r="X30" i="12"/>
  <c r="X80" s="1"/>
  <c r="X82" s="1"/>
  <c r="V30"/>
  <c r="T30"/>
  <c r="T80" s="1"/>
  <c r="T82" s="1"/>
  <c r="R30"/>
  <c r="R80" s="1"/>
  <c r="R82" s="1"/>
  <c r="P30"/>
  <c r="P80" s="1"/>
  <c r="P82" s="1"/>
  <c r="H106" i="1"/>
  <c r="X232"/>
  <c r="X28" i="12"/>
  <c r="I246" i="1"/>
  <c r="I186"/>
  <c r="I170"/>
  <c r="I249"/>
  <c r="N251"/>
  <c r="K251"/>
  <c r="L251"/>
  <c r="N172"/>
  <c r="K142"/>
  <c r="K154"/>
  <c r="S164"/>
  <c r="U178"/>
  <c r="L179"/>
  <c r="K180"/>
  <c r="N181"/>
  <c r="P183"/>
  <c r="O142"/>
  <c r="O154"/>
  <c r="S163"/>
  <c r="K172"/>
  <c r="M179"/>
  <c r="L180"/>
  <c r="K181"/>
  <c r="N182"/>
  <c r="K140"/>
  <c r="S151"/>
  <c r="S160"/>
  <c r="O170"/>
  <c r="O178"/>
  <c r="R179"/>
  <c r="T181"/>
  <c r="S182"/>
  <c r="V183"/>
  <c r="O140"/>
  <c r="O150"/>
  <c r="K159"/>
  <c r="S170"/>
  <c r="P178"/>
  <c r="O179"/>
  <c r="R180"/>
  <c r="T182"/>
  <c r="S137"/>
  <c r="S142"/>
  <c r="W150"/>
  <c r="S156"/>
  <c r="O163"/>
  <c r="W171"/>
  <c r="S134"/>
  <c r="O250"/>
  <c r="P249"/>
  <c r="N247"/>
  <c r="K246"/>
  <c r="L245"/>
  <c r="M244"/>
  <c r="Z243"/>
  <c r="N250"/>
  <c r="K249"/>
  <c r="L248"/>
  <c r="Q247"/>
  <c r="Z246"/>
  <c r="W245"/>
  <c r="X244"/>
  <c r="N249"/>
  <c r="K248"/>
  <c r="L247"/>
  <c r="Q246"/>
  <c r="Z245"/>
  <c r="W244"/>
  <c r="X243"/>
  <c r="X134"/>
  <c r="X250"/>
  <c r="V248"/>
  <c r="S247"/>
  <c r="T246"/>
  <c r="R244"/>
  <c r="O243"/>
  <c r="P242"/>
  <c r="N240"/>
  <c r="K239"/>
  <c r="L238"/>
  <c r="Q237"/>
  <c r="X229"/>
  <c r="V227"/>
  <c r="S226"/>
  <c r="T225"/>
  <c r="R223"/>
  <c r="O222"/>
  <c r="P221"/>
  <c r="N219"/>
  <c r="K218"/>
  <c r="L217"/>
  <c r="Q216"/>
  <c r="Z215"/>
  <c r="W214"/>
  <c r="X213"/>
  <c r="V211"/>
  <c r="S210"/>
  <c r="T209"/>
  <c r="N241"/>
  <c r="W240"/>
  <c r="S238"/>
  <c r="K229"/>
  <c r="Z228"/>
  <c r="L226"/>
  <c r="Z225"/>
  <c r="I218"/>
  <c r="I207"/>
  <c r="I159"/>
  <c r="I140"/>
  <c r="R251"/>
  <c r="O251"/>
  <c r="P251"/>
  <c r="R171"/>
  <c r="O141"/>
  <c r="W152"/>
  <c r="W162"/>
  <c r="O171"/>
  <c r="P179"/>
  <c r="O180"/>
  <c r="R181"/>
  <c r="T183"/>
  <c r="W141"/>
  <c r="K151"/>
  <c r="O160"/>
  <c r="K170"/>
  <c r="N178"/>
  <c r="P180"/>
  <c r="O181"/>
  <c r="R182"/>
  <c r="O138"/>
  <c r="W146"/>
  <c r="O158"/>
  <c r="K167"/>
  <c r="S178"/>
  <c r="V179"/>
  <c r="X181"/>
  <c r="W182"/>
  <c r="Z183"/>
  <c r="W138"/>
  <c r="O145"/>
  <c r="W158"/>
  <c r="S167"/>
  <c r="T178"/>
  <c r="S179"/>
  <c r="V180"/>
  <c r="X182"/>
  <c r="W183"/>
  <c r="S141"/>
  <c r="K146"/>
  <c r="W155"/>
  <c r="S162"/>
  <c r="K168"/>
  <c r="O134"/>
  <c r="K250"/>
  <c r="L249"/>
  <c r="M248"/>
  <c r="Z247"/>
  <c r="W246"/>
  <c r="X245"/>
  <c r="V243"/>
  <c r="V134"/>
  <c r="Z250"/>
  <c r="W249"/>
  <c r="X248"/>
  <c r="V246"/>
  <c r="S245"/>
  <c r="T244"/>
  <c r="Q250"/>
  <c r="Z249"/>
  <c r="W248"/>
  <c r="X247"/>
  <c r="V245"/>
  <c r="S244"/>
  <c r="T243"/>
  <c r="T134"/>
  <c r="T250"/>
  <c r="R248"/>
  <c r="O247"/>
  <c r="P246"/>
  <c r="N244"/>
  <c r="K243"/>
  <c r="L242"/>
  <c r="Q241"/>
  <c r="Z240"/>
  <c r="W239"/>
  <c r="X238"/>
  <c r="T229"/>
  <c r="R227"/>
  <c r="O226"/>
  <c r="P225"/>
  <c r="N223"/>
  <c r="K222"/>
  <c r="L221"/>
  <c r="Q220"/>
  <c r="Z219"/>
  <c r="W218"/>
  <c r="X217"/>
  <c r="V215"/>
  <c r="S214"/>
  <c r="T213"/>
  <c r="R211"/>
  <c r="O210"/>
  <c r="P209"/>
  <c r="Z242"/>
  <c r="L240"/>
  <c r="N238"/>
  <c r="W237"/>
  <c r="T228"/>
  <c r="X227"/>
  <c r="I243"/>
  <c r="I196"/>
  <c r="I179"/>
  <c r="V251"/>
  <c r="S251"/>
  <c r="T251"/>
  <c r="S183"/>
  <c r="W140"/>
  <c r="S150"/>
  <c r="S159"/>
  <c r="O168"/>
  <c r="T179"/>
  <c r="S180"/>
  <c r="V181"/>
  <c r="X183"/>
  <c r="K138"/>
  <c r="S146"/>
  <c r="W159"/>
  <c r="W168"/>
  <c r="R178"/>
  <c r="T180"/>
  <c r="S181"/>
  <c r="V182"/>
  <c r="W137"/>
  <c r="O144"/>
  <c r="K155"/>
  <c r="K164"/>
  <c r="W178"/>
  <c r="Z179"/>
  <c r="M180"/>
  <c r="L181"/>
  <c r="K182"/>
  <c r="N183"/>
  <c r="W144"/>
  <c r="O155"/>
  <c r="O164"/>
  <c r="X178"/>
  <c r="W179"/>
  <c r="Z180"/>
  <c r="Y181"/>
  <c r="L182"/>
  <c r="S140"/>
  <c r="S145"/>
  <c r="K152"/>
  <c r="W160"/>
  <c r="O167"/>
  <c r="K134"/>
  <c r="Z251"/>
  <c r="W250"/>
  <c r="X249"/>
  <c r="V247"/>
  <c r="S246"/>
  <c r="T245"/>
  <c r="R243"/>
  <c r="R134"/>
  <c r="V250"/>
  <c r="S249"/>
  <c r="T248"/>
  <c r="R246"/>
  <c r="O245"/>
  <c r="P244"/>
  <c r="Q134"/>
  <c r="V249"/>
  <c r="S248"/>
  <c r="T247"/>
  <c r="R245"/>
  <c r="O244"/>
  <c r="P243"/>
  <c r="P134"/>
  <c r="P250"/>
  <c r="N248"/>
  <c r="K247"/>
  <c r="L246"/>
  <c r="Q245"/>
  <c r="Z244"/>
  <c r="W243"/>
  <c r="X242"/>
  <c r="V240"/>
  <c r="S239"/>
  <c r="T238"/>
  <c r="P229"/>
  <c r="N227"/>
  <c r="K226"/>
  <c r="L225"/>
  <c r="Q224"/>
  <c r="Z223"/>
  <c r="W222"/>
  <c r="X221"/>
  <c r="V219"/>
  <c r="S218"/>
  <c r="T217"/>
  <c r="R215"/>
  <c r="O214"/>
  <c r="P213"/>
  <c r="N211"/>
  <c r="K210"/>
  <c r="L209"/>
  <c r="O242"/>
  <c r="X241"/>
  <c r="Z239"/>
  <c r="R237"/>
  <c r="O228"/>
  <c r="S227"/>
  <c r="V226"/>
  <c r="L145" i="8"/>
  <c r="P167"/>
  <c r="P156"/>
  <c r="S177"/>
  <c r="K171"/>
  <c r="S169"/>
  <c r="S166"/>
  <c r="K163"/>
  <c r="S158"/>
  <c r="S152"/>
  <c r="K149"/>
  <c r="S147"/>
  <c r="J96"/>
  <c r="R99"/>
  <c r="J101"/>
  <c r="J104"/>
  <c r="R107"/>
  <c r="R109"/>
  <c r="R114"/>
  <c r="R116"/>
  <c r="R121"/>
  <c r="R123"/>
  <c r="R125"/>
  <c r="R127"/>
  <c r="R129"/>
  <c r="R134"/>
  <c r="R136"/>
  <c r="R138"/>
  <c r="R140"/>
  <c r="R145"/>
  <c r="N148"/>
  <c r="N152"/>
  <c r="N159"/>
  <c r="N166"/>
  <c r="N170"/>
  <c r="N177"/>
  <c r="K96"/>
  <c r="K98"/>
  <c r="K100"/>
  <c r="K102"/>
  <c r="K104"/>
  <c r="K106"/>
  <c r="K108"/>
  <c r="K113"/>
  <c r="K115"/>
  <c r="K120"/>
  <c r="K122"/>
  <c r="K124"/>
  <c r="K126"/>
  <c r="K128"/>
  <c r="K130"/>
  <c r="K135"/>
  <c r="K137"/>
  <c r="K139"/>
  <c r="K141"/>
  <c r="Q148"/>
  <c r="Q159"/>
  <c r="Q170"/>
  <c r="T97"/>
  <c r="L103"/>
  <c r="L107"/>
  <c r="L114"/>
  <c r="L121"/>
  <c r="L125"/>
  <c r="L129"/>
  <c r="L136"/>
  <c r="L140"/>
  <c r="R147"/>
  <c r="R149"/>
  <c r="R151"/>
  <c r="R156"/>
  <c r="R158"/>
  <c r="R163"/>
  <c r="R165"/>
  <c r="R167"/>
  <c r="R169"/>
  <c r="R171"/>
  <c r="R176"/>
  <c r="U95"/>
  <c r="Q96"/>
  <c r="M97"/>
  <c r="U99"/>
  <c r="Q100"/>
  <c r="M101"/>
  <c r="U103"/>
  <c r="Q104"/>
  <c r="M105"/>
  <c r="U107"/>
  <c r="Q108"/>
  <c r="M109"/>
  <c r="U114"/>
  <c r="Q115"/>
  <c r="M116"/>
  <c r="U121"/>
  <c r="Q122"/>
  <c r="M123"/>
  <c r="U125"/>
  <c r="Q126"/>
  <c r="M127"/>
  <c r="U129"/>
  <c r="Q130"/>
  <c r="M134"/>
  <c r="U136"/>
  <c r="Q137"/>
  <c r="M138"/>
  <c r="U140"/>
  <c r="Q141"/>
  <c r="M145"/>
  <c r="M147"/>
  <c r="M149"/>
  <c r="M151"/>
  <c r="M156"/>
  <c r="M158"/>
  <c r="M163"/>
  <c r="M165"/>
  <c r="M167"/>
  <c r="M169"/>
  <c r="M171"/>
  <c r="M176"/>
  <c r="Y98"/>
  <c r="Y106"/>
  <c r="Y120"/>
  <c r="Y128"/>
  <c r="Y139"/>
  <c r="Y150"/>
  <c r="Y164"/>
  <c r="Y175"/>
  <c r="Y99"/>
  <c r="Y107"/>
  <c r="Y121"/>
  <c r="Y129"/>
  <c r="Y140"/>
  <c r="Y151"/>
  <c r="Y165"/>
  <c r="Y176"/>
  <c r="P169"/>
  <c r="P158"/>
  <c r="P147"/>
  <c r="S175"/>
  <c r="K169"/>
  <c r="S167"/>
  <c r="S164"/>
  <c r="K158"/>
  <c r="S156"/>
  <c r="S150"/>
  <c r="K147"/>
  <c r="J95"/>
  <c r="J98"/>
  <c r="R101"/>
  <c r="J103"/>
  <c r="J106"/>
  <c r="J108"/>
  <c r="J113"/>
  <c r="J115"/>
  <c r="J120"/>
  <c r="J122"/>
  <c r="J124"/>
  <c r="J126"/>
  <c r="J128"/>
  <c r="J130"/>
  <c r="J135"/>
  <c r="J137"/>
  <c r="J139"/>
  <c r="J141"/>
  <c r="N147"/>
  <c r="N151"/>
  <c r="N158"/>
  <c r="N165"/>
  <c r="N169"/>
  <c r="N176"/>
  <c r="S96"/>
  <c r="S98"/>
  <c r="S100"/>
  <c r="S102"/>
  <c r="S104"/>
  <c r="S106"/>
  <c r="S108"/>
  <c r="S113"/>
  <c r="S115"/>
  <c r="S120"/>
  <c r="S122"/>
  <c r="S124"/>
  <c r="S126"/>
  <c r="S128"/>
  <c r="S130"/>
  <c r="S135"/>
  <c r="S137"/>
  <c r="S139"/>
  <c r="S141"/>
  <c r="Q146"/>
  <c r="Q157"/>
  <c r="Q168"/>
  <c r="T95"/>
  <c r="L102"/>
  <c r="L106"/>
  <c r="L113"/>
  <c r="L120"/>
  <c r="L124"/>
  <c r="L128"/>
  <c r="L135"/>
  <c r="L139"/>
  <c r="J146"/>
  <c r="J148"/>
  <c r="J150"/>
  <c r="J152"/>
  <c r="J157"/>
  <c r="J159"/>
  <c r="J164"/>
  <c r="J166"/>
  <c r="J168"/>
  <c r="J170"/>
  <c r="J175"/>
  <c r="J177"/>
  <c r="U96"/>
  <c r="Q97"/>
  <c r="M98"/>
  <c r="U100"/>
  <c r="Q101"/>
  <c r="M102"/>
  <c r="U104"/>
  <c r="Q105"/>
  <c r="M106"/>
  <c r="U108"/>
  <c r="Q109"/>
  <c r="M113"/>
  <c r="U115"/>
  <c r="Q116"/>
  <c r="M120"/>
  <c r="U122"/>
  <c r="Q123"/>
  <c r="M124"/>
  <c r="U126"/>
  <c r="Q127"/>
  <c r="M128"/>
  <c r="U130"/>
  <c r="Q134"/>
  <c r="M135"/>
  <c r="U137"/>
  <c r="Q138"/>
  <c r="M139"/>
  <c r="U141"/>
  <c r="Q145"/>
  <c r="U147"/>
  <c r="U149"/>
  <c r="U151"/>
  <c r="U156"/>
  <c r="U158"/>
  <c r="U163"/>
  <c r="U165"/>
  <c r="U167"/>
  <c r="U169"/>
  <c r="U171"/>
  <c r="U176"/>
  <c r="Y96"/>
  <c r="Y104"/>
  <c r="Y115"/>
  <c r="Y126"/>
  <c r="Y137"/>
  <c r="Y148"/>
  <c r="Y159"/>
  <c r="Y170"/>
  <c r="Y97"/>
  <c r="Y105"/>
  <c r="Y116"/>
  <c r="Y127"/>
  <c r="Y138"/>
  <c r="Y149"/>
  <c r="Y163"/>
  <c r="Y171"/>
  <c r="P171"/>
  <c r="P163"/>
  <c r="P149"/>
  <c r="S176"/>
  <c r="S170"/>
  <c r="K167"/>
  <c r="S165"/>
  <c r="S159"/>
  <c r="K156"/>
  <c r="S151"/>
  <c r="S148"/>
  <c r="R95"/>
  <c r="J97"/>
  <c r="J100"/>
  <c r="R103"/>
  <c r="J105"/>
  <c r="R108"/>
  <c r="R113"/>
  <c r="R115"/>
  <c r="R120"/>
  <c r="R122"/>
  <c r="R124"/>
  <c r="R126"/>
  <c r="R128"/>
  <c r="R130"/>
  <c r="R135"/>
  <c r="R137"/>
  <c r="R139"/>
  <c r="R141"/>
  <c r="N146"/>
  <c r="N150"/>
  <c r="N157"/>
  <c r="N164"/>
  <c r="N168"/>
  <c r="N175"/>
  <c r="K95"/>
  <c r="K97"/>
  <c r="K99"/>
  <c r="K101"/>
  <c r="K103"/>
  <c r="K105"/>
  <c r="K107"/>
  <c r="K109"/>
  <c r="K114"/>
  <c r="K116"/>
  <c r="K121"/>
  <c r="K123"/>
  <c r="K125"/>
  <c r="K127"/>
  <c r="K129"/>
  <c r="K134"/>
  <c r="K136"/>
  <c r="K138"/>
  <c r="K140"/>
  <c r="K145"/>
  <c r="Q152"/>
  <c r="Q166"/>
  <c r="Q177"/>
  <c r="T101"/>
  <c r="L105"/>
  <c r="L109"/>
  <c r="L116"/>
  <c r="L123"/>
  <c r="L127"/>
  <c r="L134"/>
  <c r="L138"/>
  <c r="R146"/>
  <c r="R148"/>
  <c r="R150"/>
  <c r="R152"/>
  <c r="R157"/>
  <c r="R159"/>
  <c r="R164"/>
  <c r="R166"/>
  <c r="R168"/>
  <c r="R170"/>
  <c r="R175"/>
  <c r="R177"/>
  <c r="M95"/>
  <c r="U97"/>
  <c r="Q98"/>
  <c r="M99"/>
  <c r="U101"/>
  <c r="Q102"/>
  <c r="M103"/>
  <c r="U105"/>
  <c r="Q106"/>
  <c r="M107"/>
  <c r="U109"/>
  <c r="Q113"/>
  <c r="M114"/>
  <c r="U116"/>
  <c r="Q120"/>
  <c r="M121"/>
  <c r="U123"/>
  <c r="Q124"/>
  <c r="M125"/>
  <c r="U127"/>
  <c r="Q128"/>
  <c r="M129"/>
  <c r="U134"/>
  <c r="Q135"/>
  <c r="M136"/>
  <c r="U138"/>
  <c r="Q139"/>
  <c r="M140"/>
  <c r="U145"/>
  <c r="M146"/>
  <c r="M148"/>
  <c r="M150"/>
  <c r="M152"/>
  <c r="M157"/>
  <c r="M159"/>
  <c r="M164"/>
  <c r="M166"/>
  <c r="M168"/>
  <c r="M170"/>
  <c r="M175"/>
  <c r="M177"/>
  <c r="Y102"/>
  <c r="Y113"/>
  <c r="Y124"/>
  <c r="Y135"/>
  <c r="Y146"/>
  <c r="Y157"/>
  <c r="Y168"/>
  <c r="Y95"/>
  <c r="Y103"/>
  <c r="Y114"/>
  <c r="Y125"/>
  <c r="Y136"/>
  <c r="Y147"/>
  <c r="Y158"/>
  <c r="Y169"/>
  <c r="T47" i="12"/>
  <c r="T56" s="1"/>
  <c r="AC156" i="1"/>
  <c r="AC215"/>
  <c r="AC233"/>
  <c r="AC240"/>
  <c r="AC220"/>
  <c r="AC190"/>
  <c r="AC227"/>
  <c r="AC201"/>
  <c r="AC208"/>
  <c r="AC243"/>
  <c r="AC151"/>
  <c r="AC238"/>
  <c r="AC189"/>
  <c r="AC228"/>
  <c r="AC248"/>
  <c r="AC155"/>
  <c r="AC203"/>
  <c r="AC216"/>
  <c r="AC136"/>
  <c r="AC149"/>
  <c r="AC168"/>
  <c r="AC148"/>
  <c r="AC174"/>
  <c r="AC154"/>
  <c r="AC181"/>
  <c r="AC178"/>
  <c r="K47" i="12"/>
  <c r="K55" s="1"/>
  <c r="AC232" i="1"/>
  <c r="AC169"/>
  <c r="AC202"/>
  <c r="AC217"/>
  <c r="AC226"/>
  <c r="AC239"/>
  <c r="AC163"/>
  <c r="AC214"/>
  <c r="AC223"/>
  <c r="AC236"/>
  <c r="AC242"/>
  <c r="AC141"/>
  <c r="AC221"/>
  <c r="AC196"/>
  <c r="AC212"/>
  <c r="AC247"/>
  <c r="AC137"/>
  <c r="AC218"/>
  <c r="AC193"/>
  <c r="AC134"/>
  <c r="AC146"/>
  <c r="AC165"/>
  <c r="AC145"/>
  <c r="AC164"/>
  <c r="AC144"/>
  <c r="AC170"/>
  <c r="AC180"/>
  <c r="AC251"/>
  <c r="AC230"/>
  <c r="AC187"/>
  <c r="AC186"/>
  <c r="AC207"/>
  <c r="AC213"/>
  <c r="AC225"/>
  <c r="AC172"/>
  <c r="AC195"/>
  <c r="AC210"/>
  <c r="AC222"/>
  <c r="AC241"/>
  <c r="AC150"/>
  <c r="AC194"/>
  <c r="AC211"/>
  <c r="AC219"/>
  <c r="AC246"/>
  <c r="AC153"/>
  <c r="AC198"/>
  <c r="AC229"/>
  <c r="AC250"/>
  <c r="AC142"/>
  <c r="AC162"/>
  <c r="AC143"/>
  <c r="AC161"/>
  <c r="AC140"/>
  <c r="AC160"/>
  <c r="AC182"/>
  <c r="AC147"/>
  <c r="X102" i="8"/>
  <c r="T96"/>
  <c r="P177"/>
  <c r="V28" i="12"/>
  <c r="I68"/>
  <c r="I76" s="1"/>
  <c r="I77" s="1"/>
  <c r="I70"/>
  <c r="L81"/>
  <c r="L95" i="8"/>
  <c r="J21" i="12"/>
  <c r="J11"/>
  <c r="J2" i="1"/>
  <c r="J187" s="1"/>
  <c r="J12" i="12"/>
  <c r="J8"/>
  <c r="T28"/>
  <c r="Z28"/>
  <c r="Z65" s="1"/>
  <c r="I28"/>
  <c r="K81"/>
  <c r="I81"/>
  <c r="H53"/>
  <c r="J47"/>
  <c r="J55" s="1"/>
  <c r="O47"/>
  <c r="O56" s="1"/>
  <c r="N56"/>
  <c r="F214" i="1"/>
  <c r="F209"/>
  <c r="F143"/>
  <c r="F204"/>
  <c r="F247"/>
  <c r="F186"/>
  <c r="F163"/>
  <c r="F191"/>
  <c r="F201"/>
  <c r="F178"/>
  <c r="F248"/>
  <c r="F166"/>
  <c r="F239"/>
  <c r="F210"/>
  <c r="F241"/>
  <c r="F137"/>
  <c r="F160"/>
  <c r="F229"/>
  <c r="F155"/>
  <c r="F224"/>
  <c r="F162"/>
  <c r="F153"/>
  <c r="F222"/>
  <c r="V76" i="12"/>
  <c r="V77" s="1"/>
  <c r="W87"/>
  <c r="U188" i="1"/>
  <c r="Y187"/>
  <c r="Y169"/>
  <c r="Q158"/>
  <c r="Y153"/>
  <c r="Y144"/>
  <c r="Y140"/>
  <c r="Q162"/>
  <c r="M156"/>
  <c r="Q146"/>
  <c r="Y143"/>
  <c r="Y139"/>
  <c r="M188"/>
  <c r="Q187"/>
  <c r="Q169"/>
  <c r="Y164"/>
  <c r="U162"/>
  <c r="M160"/>
  <c r="Q153"/>
  <c r="U142"/>
  <c r="U138"/>
  <c r="U169"/>
  <c r="Y168"/>
  <c r="M158"/>
  <c r="Q157"/>
  <c r="U153"/>
  <c r="Y152"/>
  <c r="U145"/>
  <c r="U141"/>
  <c r="U137"/>
  <c r="Y151"/>
  <c r="Y155"/>
  <c r="Y159"/>
  <c r="Y163"/>
  <c r="Y167"/>
  <c r="Y171"/>
  <c r="M186"/>
  <c r="M190"/>
  <c r="M194"/>
  <c r="M198"/>
  <c r="M202"/>
  <c r="M206"/>
  <c r="Y217"/>
  <c r="U218"/>
  <c r="Q222"/>
  <c r="M223"/>
  <c r="M191"/>
  <c r="M195"/>
  <c r="M199"/>
  <c r="M203"/>
  <c r="M207"/>
  <c r="Y210"/>
  <c r="Q215"/>
  <c r="Y226"/>
  <c r="Q238"/>
  <c r="M239"/>
  <c r="Q192"/>
  <c r="Q196"/>
  <c r="Q200"/>
  <c r="Q204"/>
  <c r="Q208"/>
  <c r="Y219"/>
  <c r="M221"/>
  <c r="U223"/>
  <c r="Y242"/>
  <c r="U193"/>
  <c r="U197"/>
  <c r="U201"/>
  <c r="U205"/>
  <c r="U209"/>
  <c r="Q213"/>
  <c r="M214"/>
  <c r="U225"/>
  <c r="Q229"/>
  <c r="Q240"/>
  <c r="M208"/>
  <c r="M212"/>
  <c r="M216"/>
  <c r="M220"/>
  <c r="M224"/>
  <c r="M228"/>
  <c r="M237"/>
  <c r="M241"/>
  <c r="M245"/>
  <c r="M249"/>
  <c r="M246"/>
  <c r="M250"/>
  <c r="M134"/>
  <c r="M243"/>
  <c r="M247"/>
  <c r="Y244"/>
  <c r="Y248"/>
  <c r="M181"/>
  <c r="Q180"/>
  <c r="Q183"/>
  <c r="Q179"/>
  <c r="Y182"/>
  <c r="Y178"/>
  <c r="Y251"/>
  <c r="X146" i="8"/>
  <c r="P141"/>
  <c r="P140"/>
  <c r="P139"/>
  <c r="P138"/>
  <c r="P137"/>
  <c r="P136"/>
  <c r="P135"/>
  <c r="P134"/>
  <c r="P130"/>
  <c r="P129"/>
  <c r="P128"/>
  <c r="P127"/>
  <c r="P126"/>
  <c r="P125"/>
  <c r="P124"/>
  <c r="P123"/>
  <c r="P122"/>
  <c r="P121"/>
  <c r="P120"/>
  <c r="P116"/>
  <c r="P115"/>
  <c r="P114"/>
  <c r="P113"/>
  <c r="P109"/>
  <c r="P108"/>
  <c r="P107"/>
  <c r="P106"/>
  <c r="P105"/>
  <c r="P104"/>
  <c r="P103"/>
  <c r="T102"/>
  <c r="L100"/>
  <c r="L98"/>
  <c r="L96"/>
  <c r="R104"/>
  <c r="R102"/>
  <c r="R100"/>
  <c r="R98"/>
  <c r="R96"/>
  <c r="K146"/>
  <c r="K148"/>
  <c r="K150"/>
  <c r="K152"/>
  <c r="K157"/>
  <c r="K159"/>
  <c r="K164"/>
  <c r="K166"/>
  <c r="K168"/>
  <c r="K170"/>
  <c r="K175"/>
  <c r="K177"/>
  <c r="X148"/>
  <c r="X150"/>
  <c r="X152"/>
  <c r="X157"/>
  <c r="X159"/>
  <c r="X164"/>
  <c r="X166"/>
  <c r="X168"/>
  <c r="X170"/>
  <c r="X175"/>
  <c r="X177"/>
  <c r="I152" i="1"/>
  <c r="I189"/>
  <c r="I221"/>
  <c r="I167"/>
  <c r="I204"/>
  <c r="I240"/>
  <c r="I142"/>
  <c r="I181"/>
  <c r="I215"/>
  <c r="I251"/>
  <c r="I157"/>
  <c r="I194"/>
  <c r="I226"/>
  <c r="I58" i="12"/>
  <c r="Q56"/>
  <c r="F221" i="1"/>
  <c r="F207"/>
  <c r="F172"/>
  <c r="F245"/>
  <c r="F167"/>
  <c r="F240"/>
  <c r="F211"/>
  <c r="F141"/>
  <c r="F218"/>
  <c r="F152"/>
  <c r="F161"/>
  <c r="F164"/>
  <c r="F237"/>
  <c r="F212"/>
  <c r="F142"/>
  <c r="F203"/>
  <c r="F173"/>
  <c r="F246"/>
  <c r="F139"/>
  <c r="F223"/>
  <c r="F230"/>
  <c r="F197"/>
  <c r="F192"/>
  <c r="F199"/>
  <c r="F190"/>
  <c r="H86" i="12"/>
  <c r="K86"/>
  <c r="O87"/>
  <c r="S86"/>
  <c r="Y166" i="1"/>
  <c r="Q164"/>
  <c r="M162"/>
  <c r="U157"/>
  <c r="Y150"/>
  <c r="Q144"/>
  <c r="Q140"/>
  <c r="Y188"/>
  <c r="Y170"/>
  <c r="Q168"/>
  <c r="M166"/>
  <c r="U161"/>
  <c r="M153"/>
  <c r="Q143"/>
  <c r="Q139"/>
  <c r="U168"/>
  <c r="M157"/>
  <c r="U152"/>
  <c r="M142"/>
  <c r="M138"/>
  <c r="M189"/>
  <c r="Q188"/>
  <c r="U166"/>
  <c r="M164"/>
  <c r="Y162"/>
  <c r="U150"/>
  <c r="M145"/>
  <c r="M141"/>
  <c r="M137"/>
  <c r="Q151"/>
  <c r="Q155"/>
  <c r="Q159"/>
  <c r="Q163"/>
  <c r="Q167"/>
  <c r="Q171"/>
  <c r="U186"/>
  <c r="U190"/>
  <c r="U194"/>
  <c r="U198"/>
  <c r="U202"/>
  <c r="U206"/>
  <c r="Y211"/>
  <c r="M213"/>
  <c r="U215"/>
  <c r="Y227"/>
  <c r="M229"/>
  <c r="Q239"/>
  <c r="M240"/>
  <c r="U191"/>
  <c r="U195"/>
  <c r="U199"/>
  <c r="U203"/>
  <c r="U207"/>
  <c r="U217"/>
  <c r="Q221"/>
  <c r="M222"/>
  <c r="Y192"/>
  <c r="Y196"/>
  <c r="Y200"/>
  <c r="Y204"/>
  <c r="Y208"/>
  <c r="Y209"/>
  <c r="U210"/>
  <c r="Q214"/>
  <c r="M215"/>
  <c r="Y225"/>
  <c r="U226"/>
  <c r="M238"/>
  <c r="U240"/>
  <c r="M193"/>
  <c r="M197"/>
  <c r="M201"/>
  <c r="M205"/>
  <c r="Y218"/>
  <c r="Q223"/>
  <c r="U242"/>
  <c r="U212"/>
  <c r="U216"/>
  <c r="U220"/>
  <c r="U224"/>
  <c r="U228"/>
  <c r="U237"/>
  <c r="U241"/>
  <c r="U245"/>
  <c r="U249"/>
  <c r="U246"/>
  <c r="U250"/>
  <c r="U134"/>
  <c r="U243"/>
  <c r="U247"/>
  <c r="Q244"/>
  <c r="Q248"/>
  <c r="U181"/>
  <c r="Y180"/>
  <c r="Y183"/>
  <c r="Y179"/>
  <c r="Q182"/>
  <c r="Q178"/>
  <c r="Y172"/>
  <c r="Q251"/>
  <c r="X145" i="8"/>
  <c r="X141"/>
  <c r="X140"/>
  <c r="X139"/>
  <c r="X138"/>
  <c r="X137"/>
  <c r="X136"/>
  <c r="X135"/>
  <c r="X134"/>
  <c r="X130"/>
  <c r="X129"/>
  <c r="X128"/>
  <c r="X127"/>
  <c r="X126"/>
  <c r="X125"/>
  <c r="X124"/>
  <c r="X123"/>
  <c r="X122"/>
  <c r="X121"/>
  <c r="X120"/>
  <c r="X116"/>
  <c r="X115"/>
  <c r="X114"/>
  <c r="X113"/>
  <c r="X109"/>
  <c r="X108"/>
  <c r="X107"/>
  <c r="X106"/>
  <c r="X105"/>
  <c r="X104"/>
  <c r="X103"/>
  <c r="L101"/>
  <c r="L99"/>
  <c r="L97"/>
  <c r="X147"/>
  <c r="X149"/>
  <c r="X151"/>
  <c r="X156"/>
  <c r="X158"/>
  <c r="X163"/>
  <c r="X165"/>
  <c r="X167"/>
  <c r="X169"/>
  <c r="X171"/>
  <c r="X176"/>
  <c r="K16" i="12"/>
  <c r="I168" i="1"/>
  <c r="I205"/>
  <c r="I241"/>
  <c r="I147"/>
  <c r="I151"/>
  <c r="I188"/>
  <c r="I220"/>
  <c r="I162"/>
  <c r="I199"/>
  <c r="I137"/>
  <c r="I173"/>
  <c r="I210"/>
  <c r="I56" i="12"/>
  <c r="E5" i="17"/>
  <c r="I250" i="1"/>
  <c r="I230"/>
  <c r="I214"/>
  <c r="I198"/>
  <c r="I180"/>
  <c r="I161"/>
  <c r="I141"/>
  <c r="I239"/>
  <c r="I219"/>
  <c r="I203"/>
  <c r="I187"/>
  <c r="I166"/>
  <c r="I150"/>
  <c r="I146"/>
  <c r="I244"/>
  <c r="I224"/>
  <c r="I208"/>
  <c r="I192"/>
  <c r="I171"/>
  <c r="I155"/>
  <c r="I245"/>
  <c r="I225"/>
  <c r="I209"/>
  <c r="I193"/>
  <c r="I172"/>
  <c r="I156"/>
  <c r="I134"/>
  <c r="I242"/>
  <c r="I222"/>
  <c r="I206"/>
  <c r="I190"/>
  <c r="I169"/>
  <c r="I153"/>
  <c r="I247"/>
  <c r="I227"/>
  <c r="I211"/>
  <c r="I195"/>
  <c r="I175"/>
  <c r="I158"/>
  <c r="I138"/>
  <c r="I216"/>
  <c r="I200"/>
  <c r="I182"/>
  <c r="I163"/>
  <c r="I143"/>
  <c r="I237"/>
  <c r="I217"/>
  <c r="I201"/>
  <c r="I183"/>
  <c r="I164"/>
  <c r="I144"/>
  <c r="T177" i="8"/>
  <c r="T176"/>
  <c r="T175"/>
  <c r="T171"/>
  <c r="T170"/>
  <c r="T169"/>
  <c r="T168"/>
  <c r="T167"/>
  <c r="T166"/>
  <c r="T165"/>
  <c r="T164"/>
  <c r="T163"/>
  <c r="T159"/>
  <c r="T158"/>
  <c r="T157"/>
  <c r="T156"/>
  <c r="T152"/>
  <c r="T151"/>
  <c r="T150"/>
  <c r="T149"/>
  <c r="T148"/>
  <c r="T147"/>
  <c r="T146"/>
  <c r="W177"/>
  <c r="W176"/>
  <c r="W175"/>
  <c r="W171"/>
  <c r="W170"/>
  <c r="W169"/>
  <c r="W168"/>
  <c r="W167"/>
  <c r="W166"/>
  <c r="W165"/>
  <c r="W164"/>
  <c r="W163"/>
  <c r="W159"/>
  <c r="W158"/>
  <c r="W157"/>
  <c r="W156"/>
  <c r="W152"/>
  <c r="W151"/>
  <c r="W150"/>
  <c r="W149"/>
  <c r="W148"/>
  <c r="W147"/>
  <c r="V95"/>
  <c r="V96"/>
  <c r="V97"/>
  <c r="V98"/>
  <c r="V99"/>
  <c r="V100"/>
  <c r="V101"/>
  <c r="V102"/>
  <c r="V103"/>
  <c r="V104"/>
  <c r="V105"/>
  <c r="V106"/>
  <c r="V107"/>
  <c r="V108"/>
  <c r="V109"/>
  <c r="V113"/>
  <c r="V114"/>
  <c r="V115"/>
  <c r="V116"/>
  <c r="V120"/>
  <c r="V121"/>
  <c r="V122"/>
  <c r="V123"/>
  <c r="V124"/>
  <c r="V125"/>
  <c r="V126"/>
  <c r="V127"/>
  <c r="V128"/>
  <c r="V129"/>
  <c r="V130"/>
  <c r="V134"/>
  <c r="V135"/>
  <c r="V136"/>
  <c r="V137"/>
  <c r="V138"/>
  <c r="V139"/>
  <c r="V140"/>
  <c r="V141"/>
  <c r="V145"/>
  <c r="V146"/>
  <c r="V148"/>
  <c r="V150"/>
  <c r="V152"/>
  <c r="V157"/>
  <c r="V159"/>
  <c r="V164"/>
  <c r="V166"/>
  <c r="V168"/>
  <c r="V170"/>
  <c r="V175"/>
  <c r="V177"/>
  <c r="O95"/>
  <c r="O96"/>
  <c r="O97"/>
  <c r="O98"/>
  <c r="O99"/>
  <c r="O100"/>
  <c r="O101"/>
  <c r="O102"/>
  <c r="O103"/>
  <c r="O104"/>
  <c r="O105"/>
  <c r="O106"/>
  <c r="O107"/>
  <c r="O108"/>
  <c r="O109"/>
  <c r="O113"/>
  <c r="O114"/>
  <c r="O115"/>
  <c r="O116"/>
  <c r="O120"/>
  <c r="O121"/>
  <c r="O122"/>
  <c r="O123"/>
  <c r="O124"/>
  <c r="O125"/>
  <c r="O126"/>
  <c r="O127"/>
  <c r="O128"/>
  <c r="O129"/>
  <c r="O130"/>
  <c r="O134"/>
  <c r="O135"/>
  <c r="O136"/>
  <c r="O137"/>
  <c r="O138"/>
  <c r="O139"/>
  <c r="O140"/>
  <c r="O141"/>
  <c r="O145"/>
  <c r="Q147"/>
  <c r="Q151"/>
  <c r="Q158"/>
  <c r="Q165"/>
  <c r="Q169"/>
  <c r="Q176"/>
  <c r="P95"/>
  <c r="P96"/>
  <c r="P97"/>
  <c r="P98"/>
  <c r="P99"/>
  <c r="P100"/>
  <c r="P101"/>
  <c r="P102"/>
  <c r="T145"/>
  <c r="L177"/>
  <c r="L176"/>
  <c r="L175"/>
  <c r="L171"/>
  <c r="L170"/>
  <c r="L169"/>
  <c r="L168"/>
  <c r="L167"/>
  <c r="L166"/>
  <c r="L165"/>
  <c r="L164"/>
  <c r="L163"/>
  <c r="L159"/>
  <c r="L158"/>
  <c r="L157"/>
  <c r="L156"/>
  <c r="L152"/>
  <c r="L151"/>
  <c r="L150"/>
  <c r="L149"/>
  <c r="L148"/>
  <c r="L147"/>
  <c r="L146"/>
  <c r="O177"/>
  <c r="O176"/>
  <c r="O175"/>
  <c r="O171"/>
  <c r="O170"/>
  <c r="O169"/>
  <c r="O168"/>
  <c r="O167"/>
  <c r="O166"/>
  <c r="O165"/>
  <c r="O164"/>
  <c r="O163"/>
  <c r="O159"/>
  <c r="O158"/>
  <c r="O157"/>
  <c r="O156"/>
  <c r="O152"/>
  <c r="O151"/>
  <c r="O150"/>
  <c r="O149"/>
  <c r="O148"/>
  <c r="O147"/>
  <c r="O146"/>
  <c r="N95"/>
  <c r="N96"/>
  <c r="N97"/>
  <c r="N98"/>
  <c r="N99"/>
  <c r="N100"/>
  <c r="N101"/>
  <c r="N102"/>
  <c r="N103"/>
  <c r="N104"/>
  <c r="N105"/>
  <c r="N106"/>
  <c r="N107"/>
  <c r="N108"/>
  <c r="N109"/>
  <c r="N113"/>
  <c r="N114"/>
  <c r="N115"/>
  <c r="N116"/>
  <c r="N120"/>
  <c r="N121"/>
  <c r="N122"/>
  <c r="N123"/>
  <c r="N124"/>
  <c r="N125"/>
  <c r="N126"/>
  <c r="N127"/>
  <c r="N128"/>
  <c r="N129"/>
  <c r="N130"/>
  <c r="N134"/>
  <c r="N135"/>
  <c r="N136"/>
  <c r="N137"/>
  <c r="N138"/>
  <c r="N139"/>
  <c r="N140"/>
  <c r="N141"/>
  <c r="N145"/>
  <c r="V147"/>
  <c r="V149"/>
  <c r="V151"/>
  <c r="V156"/>
  <c r="V158"/>
  <c r="V163"/>
  <c r="V165"/>
  <c r="V167"/>
  <c r="V169"/>
  <c r="V171"/>
  <c r="V176"/>
  <c r="W95"/>
  <c r="W96"/>
  <c r="W97"/>
  <c r="W98"/>
  <c r="W99"/>
  <c r="W100"/>
  <c r="W101"/>
  <c r="W102"/>
  <c r="W103"/>
  <c r="W104"/>
  <c r="W105"/>
  <c r="W106"/>
  <c r="W107"/>
  <c r="W108"/>
  <c r="W109"/>
  <c r="W113"/>
  <c r="W114"/>
  <c r="W115"/>
  <c r="W116"/>
  <c r="W120"/>
  <c r="W121"/>
  <c r="W122"/>
  <c r="W123"/>
  <c r="W124"/>
  <c r="W125"/>
  <c r="W126"/>
  <c r="W127"/>
  <c r="W128"/>
  <c r="W129"/>
  <c r="W130"/>
  <c r="W134"/>
  <c r="W135"/>
  <c r="W136"/>
  <c r="W137"/>
  <c r="W138"/>
  <c r="W139"/>
  <c r="W140"/>
  <c r="W141"/>
  <c r="W145"/>
  <c r="W146"/>
  <c r="Q149"/>
  <c r="Q156"/>
  <c r="Q163"/>
  <c r="Q167"/>
  <c r="Q171"/>
  <c r="X95"/>
  <c r="X96"/>
  <c r="X97"/>
  <c r="X98"/>
  <c r="X99"/>
  <c r="X100"/>
  <c r="X101"/>
  <c r="I53" i="12"/>
  <c r="N53"/>
  <c r="F168" i="1"/>
  <c r="F154"/>
  <c r="F156"/>
  <c r="F225"/>
  <c r="F151"/>
  <c r="F220"/>
  <c r="F195"/>
  <c r="F202"/>
  <c r="F144"/>
  <c r="F216"/>
  <c r="F243"/>
  <c r="F140"/>
  <c r="F217"/>
  <c r="F196"/>
  <c r="F187"/>
  <c r="F157"/>
  <c r="F226"/>
  <c r="F170"/>
  <c r="F180"/>
  <c r="F179"/>
  <c r="F249"/>
  <c r="F171"/>
  <c r="F244"/>
  <c r="F181"/>
  <c r="F251"/>
  <c r="F169"/>
  <c r="F242"/>
  <c r="O86" i="12"/>
  <c r="Q189" i="1"/>
  <c r="U170"/>
  <c r="M168"/>
  <c r="Q161"/>
  <c r="Y156"/>
  <c r="U154"/>
  <c r="M152"/>
  <c r="M144"/>
  <c r="M140"/>
  <c r="M172"/>
  <c r="Q165"/>
  <c r="Y160"/>
  <c r="U158"/>
  <c r="Y154"/>
  <c r="Q152"/>
  <c r="M150"/>
  <c r="M143"/>
  <c r="M139"/>
  <c r="Q172"/>
  <c r="M170"/>
  <c r="U165"/>
  <c r="Y158"/>
  <c r="Q156"/>
  <c r="M154"/>
  <c r="U146"/>
  <c r="Y142"/>
  <c r="Y138"/>
  <c r="U187"/>
  <c r="Q170"/>
  <c r="Y165"/>
  <c r="Q154"/>
  <c r="Y146"/>
  <c r="Y145"/>
  <c r="Y141"/>
  <c r="Y137"/>
  <c r="U151"/>
  <c r="U155"/>
  <c r="U159"/>
  <c r="U163"/>
  <c r="U167"/>
  <c r="U171"/>
  <c r="Y186"/>
  <c r="Y190"/>
  <c r="Y194"/>
  <c r="Y198"/>
  <c r="Y202"/>
  <c r="Y206"/>
  <c r="Q209"/>
  <c r="M210"/>
  <c r="U221"/>
  <c r="Q225"/>
  <c r="M226"/>
  <c r="Y191"/>
  <c r="Y195"/>
  <c r="Y199"/>
  <c r="Y203"/>
  <c r="Y207"/>
  <c r="Y213"/>
  <c r="U214"/>
  <c r="Q218"/>
  <c r="M219"/>
  <c r="Y229"/>
  <c r="Y240"/>
  <c r="M242"/>
  <c r="M192"/>
  <c r="M196"/>
  <c r="M200"/>
  <c r="M204"/>
  <c r="Q211"/>
  <c r="Y222"/>
  <c r="Q227"/>
  <c r="Q193"/>
  <c r="Q197"/>
  <c r="Q201"/>
  <c r="Q205"/>
  <c r="Y215"/>
  <c r="M217"/>
  <c r="U219"/>
  <c r="Y238"/>
  <c r="U239"/>
  <c r="Y212"/>
  <c r="Y216"/>
  <c r="Y220"/>
  <c r="Y224"/>
  <c r="Y228"/>
  <c r="Y237"/>
  <c r="Y241"/>
  <c r="Y245"/>
  <c r="Y249"/>
  <c r="Y246"/>
  <c r="Y250"/>
  <c r="Y134"/>
  <c r="Y243"/>
  <c r="Y247"/>
  <c r="U244"/>
  <c r="U248"/>
  <c r="Q181"/>
  <c r="U180"/>
  <c r="U183"/>
  <c r="U179"/>
  <c r="M182"/>
  <c r="M178"/>
  <c r="Y157"/>
  <c r="M251"/>
  <c r="P145" i="8"/>
  <c r="T141"/>
  <c r="T140"/>
  <c r="T139"/>
  <c r="T138"/>
  <c r="T137"/>
  <c r="T136"/>
  <c r="T135"/>
  <c r="T134"/>
  <c r="T130"/>
  <c r="T129"/>
  <c r="T128"/>
  <c r="T127"/>
  <c r="T126"/>
  <c r="T125"/>
  <c r="T124"/>
  <c r="T123"/>
  <c r="T122"/>
  <c r="T121"/>
  <c r="T120"/>
  <c r="T116"/>
  <c r="T115"/>
  <c r="T114"/>
  <c r="T113"/>
  <c r="T109"/>
  <c r="T108"/>
  <c r="T107"/>
  <c r="T106"/>
  <c r="T105"/>
  <c r="T104"/>
  <c r="T103"/>
  <c r="T100"/>
  <c r="T98"/>
  <c r="P146"/>
  <c r="P148"/>
  <c r="P150"/>
  <c r="P152"/>
  <c r="P157"/>
  <c r="P159"/>
  <c r="P164"/>
  <c r="P166"/>
  <c r="P168"/>
  <c r="P170"/>
  <c r="P175"/>
  <c r="I160" i="1"/>
  <c r="I197"/>
  <c r="I229"/>
  <c r="I139"/>
  <c r="I178"/>
  <c r="I212"/>
  <c r="I248"/>
  <c r="I154"/>
  <c r="I191"/>
  <c r="I223"/>
  <c r="I165"/>
  <c r="I202"/>
  <c r="I238"/>
  <c r="H28" i="12" l="1"/>
  <c r="N51"/>
  <c r="F87"/>
  <c r="F16"/>
  <c r="E70"/>
  <c r="E69"/>
  <c r="G27"/>
  <c r="G23"/>
  <c r="G13"/>
  <c r="G9"/>
  <c r="G30"/>
  <c r="G73"/>
  <c r="G74" s="1"/>
  <c r="G24"/>
  <c r="G20"/>
  <c r="G14"/>
  <c r="G10"/>
  <c r="G6"/>
  <c r="G25"/>
  <c r="G21"/>
  <c r="G15"/>
  <c r="G11"/>
  <c r="G7"/>
  <c r="G26"/>
  <c r="G22"/>
  <c r="G12"/>
  <c r="G8"/>
  <c r="D192" i="8"/>
  <c r="D230"/>
  <c r="E2" i="1"/>
  <c r="E23" i="12"/>
  <c r="E24"/>
  <c r="C5" i="17"/>
  <c r="C10" s="1"/>
  <c r="E25" i="12"/>
  <c r="E13"/>
  <c r="E9"/>
  <c r="D3"/>
  <c r="E26"/>
  <c r="E20"/>
  <c r="E14"/>
  <c r="E10"/>
  <c r="E6"/>
  <c r="E27"/>
  <c r="E21"/>
  <c r="E15"/>
  <c r="E11"/>
  <c r="E7"/>
  <c r="E30"/>
  <c r="E73"/>
  <c r="E22"/>
  <c r="E12"/>
  <c r="E8"/>
  <c r="I77" i="19"/>
  <c r="F77"/>
  <c r="G77" s="1"/>
  <c r="I74"/>
  <c r="I70"/>
  <c r="I66"/>
  <c r="I62"/>
  <c r="I58"/>
  <c r="I54"/>
  <c r="I50"/>
  <c r="I46"/>
  <c r="F76"/>
  <c r="G76" s="1"/>
  <c r="F72"/>
  <c r="G72" s="1"/>
  <c r="F68"/>
  <c r="G68" s="1"/>
  <c r="F64"/>
  <c r="G64" s="1"/>
  <c r="F60"/>
  <c r="G60" s="1"/>
  <c r="F56"/>
  <c r="G56" s="1"/>
  <c r="F52"/>
  <c r="G52" s="1"/>
  <c r="F48"/>
  <c r="G48" s="1"/>
  <c r="F44"/>
  <c r="G44" s="1"/>
  <c r="I75"/>
  <c r="I71"/>
  <c r="I67"/>
  <c r="I63"/>
  <c r="I59"/>
  <c r="I55"/>
  <c r="I51"/>
  <c r="I47"/>
  <c r="I43"/>
  <c r="F73"/>
  <c r="G73" s="1"/>
  <c r="F69"/>
  <c r="G69" s="1"/>
  <c r="F65"/>
  <c r="G65" s="1"/>
  <c r="F61"/>
  <c r="G61" s="1"/>
  <c r="F57"/>
  <c r="G57" s="1"/>
  <c r="F53"/>
  <c r="G53" s="1"/>
  <c r="F49"/>
  <c r="G49" s="1"/>
  <c r="F45"/>
  <c r="G45" s="1"/>
  <c r="I76"/>
  <c r="I72"/>
  <c r="I68"/>
  <c r="I64"/>
  <c r="I60"/>
  <c r="I56"/>
  <c r="I52"/>
  <c r="I48"/>
  <c r="I44"/>
  <c r="F74"/>
  <c r="G74" s="1"/>
  <c r="F70"/>
  <c r="G70" s="1"/>
  <c r="F66"/>
  <c r="G66" s="1"/>
  <c r="F62"/>
  <c r="G62" s="1"/>
  <c r="F58"/>
  <c r="G58" s="1"/>
  <c r="F54"/>
  <c r="G54" s="1"/>
  <c r="F50"/>
  <c r="G50" s="1"/>
  <c r="F46"/>
  <c r="G46" s="1"/>
  <c r="I73"/>
  <c r="I69"/>
  <c r="I65"/>
  <c r="I61"/>
  <c r="I57"/>
  <c r="I53"/>
  <c r="I49"/>
  <c r="I45"/>
  <c r="F75"/>
  <c r="G75" s="1"/>
  <c r="F71"/>
  <c r="G71" s="1"/>
  <c r="F67"/>
  <c r="G67" s="1"/>
  <c r="F63"/>
  <c r="G63" s="1"/>
  <c r="F59"/>
  <c r="G59" s="1"/>
  <c r="F55"/>
  <c r="G55" s="1"/>
  <c r="F51"/>
  <c r="G51" s="1"/>
  <c r="F47"/>
  <c r="G47" s="1"/>
  <c r="F43"/>
  <c r="G43" s="1"/>
  <c r="I50" i="12"/>
  <c r="J156" i="1"/>
  <c r="I61" i="12"/>
  <c r="I52"/>
  <c r="I60"/>
  <c r="V80"/>
  <c r="V82" s="1"/>
  <c r="I51"/>
  <c r="I78" i="19"/>
  <c r="F78"/>
  <c r="G78" s="1"/>
  <c r="I54" i="12"/>
  <c r="J199" i="1"/>
  <c r="I55" i="12"/>
  <c r="I63"/>
  <c r="I59"/>
  <c r="N80"/>
  <c r="N82" s="1"/>
  <c r="F73"/>
  <c r="E255" i="8"/>
  <c r="D188"/>
  <c r="D208"/>
  <c r="D246"/>
  <c r="D266"/>
  <c r="D195"/>
  <c r="D215"/>
  <c r="D235"/>
  <c r="D255"/>
  <c r="D186"/>
  <c r="D204"/>
  <c r="D224"/>
  <c r="D193"/>
  <c r="D213"/>
  <c r="D253"/>
  <c r="D191"/>
  <c r="D211"/>
  <c r="D229"/>
  <c r="D251"/>
  <c r="D198"/>
  <c r="D218"/>
  <c r="D238"/>
  <c r="D258"/>
  <c r="D189"/>
  <c r="D209"/>
  <c r="D268"/>
  <c r="D196"/>
  <c r="D216"/>
  <c r="D256"/>
  <c r="D187"/>
  <c r="D205"/>
  <c r="D225"/>
  <c r="D245"/>
  <c r="D265"/>
  <c r="D194"/>
  <c r="D214"/>
  <c r="D234"/>
  <c r="D254"/>
  <c r="D203"/>
  <c r="D241"/>
  <c r="D263"/>
  <c r="F10" i="17"/>
  <c r="D183" i="8"/>
  <c r="D201"/>
  <c r="D219"/>
  <c r="D239"/>
  <c r="D190"/>
  <c r="D248"/>
  <c r="D237"/>
  <c r="D257"/>
  <c r="Q63" i="12"/>
  <c r="Q57"/>
  <c r="Q51"/>
  <c r="K65"/>
  <c r="K80"/>
  <c r="K82" s="1"/>
  <c r="J80"/>
  <c r="F70"/>
  <c r="AB129" i="1"/>
  <c r="AB253" s="1"/>
  <c r="K175"/>
  <c r="AC234"/>
  <c r="W129"/>
  <c r="W253" s="1"/>
  <c r="P234"/>
  <c r="J250"/>
  <c r="W175"/>
  <c r="K234"/>
  <c r="M65" i="12"/>
  <c r="I108" i="1"/>
  <c r="O234"/>
  <c r="L108"/>
  <c r="L129" s="1"/>
  <c r="L253" s="1"/>
  <c r="I30" i="12"/>
  <c r="I80" s="1"/>
  <c r="I82" s="1"/>
  <c r="G14" i="19"/>
  <c r="H15" s="1"/>
  <c r="H24" s="1"/>
  <c r="H25" s="1"/>
  <c r="L30" i="12"/>
  <c r="L80" s="1"/>
  <c r="L82" s="1"/>
  <c r="I232" i="1"/>
  <c r="T65" i="12"/>
  <c r="J180" i="1"/>
  <c r="J145"/>
  <c r="J137"/>
  <c r="J140"/>
  <c r="J169"/>
  <c r="J196"/>
  <c r="J229"/>
  <c r="J186"/>
  <c r="J76" i="12"/>
  <c r="J77" s="1"/>
  <c r="J86"/>
  <c r="J81"/>
  <c r="V65"/>
  <c r="N56" i="1"/>
  <c r="M180" i="8"/>
  <c r="Q180"/>
  <c r="R56" i="1"/>
  <c r="U180" i="8"/>
  <c r="V56" i="1"/>
  <c r="K56"/>
  <c r="J180" i="8"/>
  <c r="W180"/>
  <c r="X56" i="1"/>
  <c r="F63" i="12"/>
  <c r="U61"/>
  <c r="M55"/>
  <c r="F60"/>
  <c r="V60"/>
  <c r="F55"/>
  <c r="Y53"/>
  <c r="V52"/>
  <c r="V63"/>
  <c r="F50"/>
  <c r="V62"/>
  <c r="F53"/>
  <c r="F59"/>
  <c r="Y55"/>
  <c r="V58"/>
  <c r="V54"/>
  <c r="F58"/>
  <c r="F61"/>
  <c r="F57"/>
  <c r="F56"/>
  <c r="V61"/>
  <c r="V53"/>
  <c r="X50"/>
  <c r="F52"/>
  <c r="F54"/>
  <c r="F51"/>
  <c r="N63"/>
  <c r="N52"/>
  <c r="N62"/>
  <c r="Q55"/>
  <c r="Q62"/>
  <c r="N61"/>
  <c r="Q61"/>
  <c r="N54"/>
  <c r="Q60"/>
  <c r="N55"/>
  <c r="Q59"/>
  <c r="Q50"/>
  <c r="M56"/>
  <c r="Q54"/>
  <c r="Q53"/>
  <c r="Q52"/>
  <c r="S61"/>
  <c r="N58"/>
  <c r="M60"/>
  <c r="M57"/>
  <c r="M62"/>
  <c r="M50"/>
  <c r="M61"/>
  <c r="M54"/>
  <c r="N59"/>
  <c r="N50"/>
  <c r="R58"/>
  <c r="R50"/>
  <c r="R51"/>
  <c r="R56"/>
  <c r="R60"/>
  <c r="R62"/>
  <c r="R54"/>
  <c r="R55"/>
  <c r="R53"/>
  <c r="R52"/>
  <c r="R61"/>
  <c r="W56" i="1"/>
  <c r="V180" i="8"/>
  <c r="R4"/>
  <c r="Q91"/>
  <c r="M52" i="12"/>
  <c r="M58"/>
  <c r="M51"/>
  <c r="Y59"/>
  <c r="N60"/>
  <c r="S180" i="8"/>
  <c r="T56" i="1"/>
  <c r="X60" i="12"/>
  <c r="V50"/>
  <c r="V57"/>
  <c r="N180" i="8"/>
  <c r="O56" i="1"/>
  <c r="U56" i="12"/>
  <c r="Y62"/>
  <c r="L56" i="1"/>
  <c r="K180" i="8"/>
  <c r="U58" i="12"/>
  <c r="R59"/>
  <c r="M53"/>
  <c r="M63"/>
  <c r="R63"/>
  <c r="V51"/>
  <c r="V56"/>
  <c r="V59"/>
  <c r="X63"/>
  <c r="S58"/>
  <c r="S57"/>
  <c r="Y57"/>
  <c r="Y50"/>
  <c r="Y61"/>
  <c r="R57"/>
  <c r="S56"/>
  <c r="S62"/>
  <c r="S63"/>
  <c r="Y60"/>
  <c r="Y52"/>
  <c r="Y63"/>
  <c r="Y58"/>
  <c r="H56"/>
  <c r="S60"/>
  <c r="S50"/>
  <c r="Y51"/>
  <c r="Y56"/>
  <c r="U57"/>
  <c r="U63"/>
  <c r="U52"/>
  <c r="U60"/>
  <c r="X52"/>
  <c r="S55"/>
  <c r="S54"/>
  <c r="S51"/>
  <c r="H51"/>
  <c r="U50"/>
  <c r="X54"/>
  <c r="U55"/>
  <c r="U51"/>
  <c r="U62"/>
  <c r="X55"/>
  <c r="S59"/>
  <c r="S53"/>
  <c r="U53"/>
  <c r="U59"/>
  <c r="L54"/>
  <c r="L56"/>
  <c r="L61"/>
  <c r="L59"/>
  <c r="W63"/>
  <c r="W57"/>
  <c r="W52"/>
  <c r="W56"/>
  <c r="J56"/>
  <c r="K52"/>
  <c r="L55"/>
  <c r="L60"/>
  <c r="L53"/>
  <c r="L50"/>
  <c r="W51"/>
  <c r="W53"/>
  <c r="W55"/>
  <c r="X59"/>
  <c r="X62"/>
  <c r="X61"/>
  <c r="J61"/>
  <c r="K57"/>
  <c r="X53"/>
  <c r="L57"/>
  <c r="L62"/>
  <c r="L52"/>
  <c r="W60"/>
  <c r="W62"/>
  <c r="W58"/>
  <c r="X51"/>
  <c r="X57"/>
  <c r="X58"/>
  <c r="K60"/>
  <c r="W50"/>
  <c r="L63"/>
  <c r="L51"/>
  <c r="W61"/>
  <c r="W54"/>
  <c r="U65"/>
  <c r="M10" i="17"/>
  <c r="E14" i="19"/>
  <c r="H30" i="12"/>
  <c r="H80" s="1"/>
  <c r="H82" s="1"/>
  <c r="H232" i="1"/>
  <c r="R65" i="12"/>
  <c r="F108" i="1"/>
  <c r="F48"/>
  <c r="F109" s="1"/>
  <c r="J225"/>
  <c r="J204"/>
  <c r="J191"/>
  <c r="J242"/>
  <c r="J217"/>
  <c r="J144"/>
  <c r="P65" i="12"/>
  <c r="S234" i="1"/>
  <c r="S129"/>
  <c r="S253" s="1"/>
  <c r="AD108"/>
  <c r="AD232"/>
  <c r="S65" i="12"/>
  <c r="U108" i="1"/>
  <c r="U175"/>
  <c r="V108"/>
  <c r="V175"/>
  <c r="X129"/>
  <c r="X253" s="1"/>
  <c r="X234"/>
  <c r="D14" i="19"/>
  <c r="D15" s="1"/>
  <c r="D24" s="1"/>
  <c r="D25" s="1"/>
  <c r="F65" i="12"/>
  <c r="Q65"/>
  <c r="Z129" i="1"/>
  <c r="Z253" s="1"/>
  <c r="Z234"/>
  <c r="T129"/>
  <c r="T253" s="1"/>
  <c r="T234"/>
  <c r="X65" i="12"/>
  <c r="O65"/>
  <c r="T14" i="19"/>
  <c r="T15" s="1"/>
  <c r="T24" s="1"/>
  <c r="T25" s="1"/>
  <c r="Y30" i="12"/>
  <c r="Y80" s="1"/>
  <c r="Y82" s="1"/>
  <c r="Y232" i="1"/>
  <c r="Y108"/>
  <c r="N65" i="12"/>
  <c r="W65"/>
  <c r="N175" i="1"/>
  <c r="N108"/>
  <c r="L234"/>
  <c r="Q234"/>
  <c r="Q129"/>
  <c r="Q253" s="1"/>
  <c r="H108"/>
  <c r="J213"/>
  <c r="J165"/>
  <c r="J215"/>
  <c r="J139"/>
  <c r="J198"/>
  <c r="J172"/>
  <c r="J245"/>
  <c r="J151"/>
  <c r="J220"/>
  <c r="J207"/>
  <c r="J190"/>
  <c r="J164"/>
  <c r="J237"/>
  <c r="J212"/>
  <c r="H55" i="12"/>
  <c r="J244" i="1"/>
  <c r="J197"/>
  <c r="J239"/>
  <c r="J224"/>
  <c r="J179"/>
  <c r="J143"/>
  <c r="J219"/>
  <c r="H50" i="12"/>
  <c r="K58"/>
  <c r="K56"/>
  <c r="K63"/>
  <c r="T60"/>
  <c r="T62"/>
  <c r="T52"/>
  <c r="T57"/>
  <c r="T55"/>
  <c r="T63"/>
  <c r="T61"/>
  <c r="T50"/>
  <c r="T59"/>
  <c r="T58"/>
  <c r="T51"/>
  <c r="J181" i="1"/>
  <c r="J251"/>
  <c r="J161"/>
  <c r="J230"/>
  <c r="J209"/>
  <c r="J188"/>
  <c r="J170"/>
  <c r="J243"/>
  <c r="J153"/>
  <c r="J222"/>
  <c r="J142"/>
  <c r="J201"/>
  <c r="J178"/>
  <c r="J248"/>
  <c r="H58" i="12"/>
  <c r="H52"/>
  <c r="J171" i="1"/>
  <c r="J138"/>
  <c r="J218"/>
  <c r="J166"/>
  <c r="J58" i="12"/>
  <c r="J155" i="1"/>
  <c r="J249"/>
  <c r="J202"/>
  <c r="J150"/>
  <c r="J50" i="12"/>
  <c r="K54"/>
  <c r="K61"/>
  <c r="K51"/>
  <c r="K59"/>
  <c r="J28"/>
  <c r="J65" s="1"/>
  <c r="T54"/>
  <c r="P59"/>
  <c r="P61"/>
  <c r="P57"/>
  <c r="P52"/>
  <c r="P50"/>
  <c r="P56"/>
  <c r="P51"/>
  <c r="P62"/>
  <c r="P60"/>
  <c r="P55"/>
  <c r="P58"/>
  <c r="P63"/>
  <c r="J162" i="1"/>
  <c r="J232"/>
  <c r="J214"/>
  <c r="J193"/>
  <c r="J167"/>
  <c r="J240"/>
  <c r="J154"/>
  <c r="J223"/>
  <c r="J147"/>
  <c r="J206"/>
  <c r="J183"/>
  <c r="J159"/>
  <c r="J228"/>
  <c r="J208"/>
  <c r="J160"/>
  <c r="J203"/>
  <c r="J192"/>
  <c r="J238"/>
  <c r="K50" i="12"/>
  <c r="K62"/>
  <c r="K53"/>
  <c r="P54"/>
  <c r="T53"/>
  <c r="J234" i="1"/>
  <c r="J163"/>
  <c r="J205"/>
  <c r="J146"/>
  <c r="J246"/>
  <c r="J173"/>
  <c r="J195"/>
  <c r="J134"/>
  <c r="J253"/>
  <c r="J182"/>
  <c r="J221"/>
  <c r="J152"/>
  <c r="J194"/>
  <c r="J211"/>
  <c r="J200"/>
  <c r="J141"/>
  <c r="J241"/>
  <c r="J168"/>
  <c r="J210"/>
  <c r="J227"/>
  <c r="J158"/>
  <c r="J216"/>
  <c r="J189"/>
  <c r="J226"/>
  <c r="J157"/>
  <c r="J247"/>
  <c r="J175"/>
  <c r="J16" i="12"/>
  <c r="H63"/>
  <c r="H62"/>
  <c r="H60"/>
  <c r="H54"/>
  <c r="H61"/>
  <c r="H57"/>
  <c r="H59"/>
  <c r="Q10" i="17"/>
  <c r="H10"/>
  <c r="D10"/>
  <c r="N10"/>
  <c r="O58" i="12"/>
  <c r="O55"/>
  <c r="O53"/>
  <c r="O50"/>
  <c r="O62"/>
  <c r="O60"/>
  <c r="O54"/>
  <c r="O52"/>
  <c r="O61"/>
  <c r="O51"/>
  <c r="O59"/>
  <c r="O57"/>
  <c r="O63"/>
  <c r="J63"/>
  <c r="J53"/>
  <c r="J51"/>
  <c r="J62"/>
  <c r="J57"/>
  <c r="J60"/>
  <c r="J54"/>
  <c r="J52"/>
  <c r="J59"/>
  <c r="J10" i="17"/>
  <c r="P10"/>
  <c r="K10"/>
  <c r="O10"/>
  <c r="E10"/>
  <c r="I10"/>
  <c r="L10"/>
  <c r="G10"/>
  <c r="R10"/>
  <c r="E16" i="12" l="1"/>
  <c r="E87"/>
  <c r="G28"/>
  <c r="E28"/>
  <c r="G75"/>
  <c r="G80" s="1"/>
  <c r="G82" s="1"/>
  <c r="F74"/>
  <c r="G76"/>
  <c r="G77" s="1"/>
  <c r="D2" i="1"/>
  <c r="E79" i="19"/>
  <c r="D30" i="12"/>
  <c r="D73"/>
  <c r="D25"/>
  <c r="D21"/>
  <c r="D24" i="2" s="1"/>
  <c r="D15" i="12"/>
  <c r="D11"/>
  <c r="D7"/>
  <c r="L25" i="2" s="1"/>
  <c r="D26" i="12"/>
  <c r="D22"/>
  <c r="D26" i="2" s="1"/>
  <c r="D12" i="12"/>
  <c r="D8"/>
  <c r="L24" i="2" s="1"/>
  <c r="B12" i="19"/>
  <c r="D27" i="12"/>
  <c r="D23"/>
  <c r="D25" i="2" s="1"/>
  <c r="D13" i="12"/>
  <c r="L26" i="2" s="1"/>
  <c r="D9" i="12"/>
  <c r="B5" i="17"/>
  <c r="B10" s="1"/>
  <c r="C3" i="8"/>
  <c r="D24" i="12"/>
  <c r="D20"/>
  <c r="D14"/>
  <c r="D10"/>
  <c r="D6"/>
  <c r="G87"/>
  <c r="G86"/>
  <c r="G16"/>
  <c r="J82"/>
  <c r="L65"/>
  <c r="I129" i="1"/>
  <c r="I253" s="1"/>
  <c r="I234"/>
  <c r="I65" i="12"/>
  <c r="H65"/>
  <c r="R91" i="8"/>
  <c r="S4"/>
  <c r="H129" i="1"/>
  <c r="H253" s="1"/>
  <c r="H234"/>
  <c r="Y234"/>
  <c r="Y129"/>
  <c r="Y253" s="1"/>
  <c r="F15" i="19"/>
  <c r="F24" s="1"/>
  <c r="F25" s="1"/>
  <c r="E15"/>
  <c r="E24" s="1"/>
  <c r="E25" s="1"/>
  <c r="V129" i="1"/>
  <c r="V253" s="1"/>
  <c r="V234"/>
  <c r="N129"/>
  <c r="N253" s="1"/>
  <c r="N234"/>
  <c r="Y65" i="12"/>
  <c r="F129" i="1"/>
  <c r="F253" s="1"/>
  <c r="F234"/>
  <c r="U234"/>
  <c r="U129"/>
  <c r="U253" s="1"/>
  <c r="AD234"/>
  <c r="AD129"/>
  <c r="AD253" s="1"/>
  <c r="D16" i="12" l="1"/>
  <c r="L23" i="2"/>
  <c r="D87" i="12"/>
  <c r="F75"/>
  <c r="E74"/>
  <c r="F86"/>
  <c r="F76"/>
  <c r="F77" s="1"/>
  <c r="I79" i="19"/>
  <c r="I81" s="1"/>
  <c r="E75" i="2" s="1"/>
  <c r="F79" i="19"/>
  <c r="G79" s="1"/>
  <c r="G81" s="1"/>
  <c r="E76" i="2" s="1"/>
  <c r="D49"/>
  <c r="D28" i="12"/>
  <c r="M74" i="2"/>
  <c r="M76" s="1"/>
  <c r="D23"/>
  <c r="C170" i="8"/>
  <c r="C258" s="1"/>
  <c r="C150"/>
  <c r="C238" s="1"/>
  <c r="C130"/>
  <c r="C218" s="1"/>
  <c r="C110"/>
  <c r="C198" s="1"/>
  <c r="C163"/>
  <c r="C251" s="1"/>
  <c r="C141"/>
  <c r="C229" s="1"/>
  <c r="C123"/>
  <c r="C211" s="1"/>
  <c r="C103"/>
  <c r="C191" s="1"/>
  <c r="C172"/>
  <c r="C260" s="1"/>
  <c r="C152"/>
  <c r="C134"/>
  <c r="C222" s="1"/>
  <c r="C114"/>
  <c r="C202" s="1"/>
  <c r="C96"/>
  <c r="C184" s="1"/>
  <c r="C165"/>
  <c r="C253" s="1"/>
  <c r="C145"/>
  <c r="C125"/>
  <c r="C213" s="1"/>
  <c r="C105"/>
  <c r="C193" s="1"/>
  <c r="C176"/>
  <c r="C156"/>
  <c r="C136"/>
  <c r="C224" s="1"/>
  <c r="C116"/>
  <c r="C204" s="1"/>
  <c r="C98"/>
  <c r="C186" s="1"/>
  <c r="C167"/>
  <c r="C255" s="1"/>
  <c r="C147"/>
  <c r="C235" s="1"/>
  <c r="C127"/>
  <c r="C215" s="1"/>
  <c r="C107"/>
  <c r="C195" s="1"/>
  <c r="C178"/>
  <c r="C266" s="1"/>
  <c r="C158"/>
  <c r="C246" s="1"/>
  <c r="C138"/>
  <c r="C120"/>
  <c r="C208" s="1"/>
  <c r="C100"/>
  <c r="C188" s="1"/>
  <c r="C169"/>
  <c r="C257" s="1"/>
  <c r="C149"/>
  <c r="C237" s="1"/>
  <c r="C129"/>
  <c r="C109"/>
  <c r="C160"/>
  <c r="C248" s="1"/>
  <c r="C140"/>
  <c r="C122"/>
  <c r="C102"/>
  <c r="C190" s="1"/>
  <c r="C171"/>
  <c r="C151"/>
  <c r="C239" s="1"/>
  <c r="C131"/>
  <c r="C219" s="1"/>
  <c r="C113"/>
  <c r="C201" s="1"/>
  <c r="C95"/>
  <c r="C183" s="1"/>
  <c r="C164"/>
  <c r="C142"/>
  <c r="C230" s="1"/>
  <c r="C124"/>
  <c r="C104"/>
  <c r="C192" s="1"/>
  <c r="C175"/>
  <c r="C263" s="1"/>
  <c r="C153"/>
  <c r="C241" s="1"/>
  <c r="C135"/>
  <c r="C115"/>
  <c r="C203" s="1"/>
  <c r="C97"/>
  <c r="C166"/>
  <c r="C254" s="1"/>
  <c r="C146"/>
  <c r="C234" s="1"/>
  <c r="C126"/>
  <c r="C214" s="1"/>
  <c r="C106"/>
  <c r="C194" s="1"/>
  <c r="C177"/>
  <c r="C265" s="1"/>
  <c r="C157"/>
  <c r="C245" s="1"/>
  <c r="C137"/>
  <c r="C225" s="1"/>
  <c r="C117"/>
  <c r="C205" s="1"/>
  <c r="C99"/>
  <c r="C187" s="1"/>
  <c r="C168"/>
  <c r="C256" s="1"/>
  <c r="C148"/>
  <c r="C128"/>
  <c r="C216" s="1"/>
  <c r="C108"/>
  <c r="C196" s="1"/>
  <c r="C180"/>
  <c r="C268" s="1"/>
  <c r="C159"/>
  <c r="C139"/>
  <c r="C121"/>
  <c r="C209" s="1"/>
  <c r="C101"/>
  <c r="C189" s="1"/>
  <c r="S91"/>
  <c r="T4"/>
  <c r="F80" i="12" l="1"/>
  <c r="F81"/>
  <c r="E75"/>
  <c r="D74"/>
  <c r="E76"/>
  <c r="E77" s="1"/>
  <c r="E86"/>
  <c r="U4" i="8"/>
  <c r="T91"/>
  <c r="F82" i="12" l="1"/>
  <c r="E80"/>
  <c r="E81"/>
  <c r="D75"/>
  <c r="D76"/>
  <c r="D77" s="1"/>
  <c r="D86"/>
  <c r="V4" i="8"/>
  <c r="U91"/>
  <c r="D81" i="12" l="1"/>
  <c r="K50" i="2" s="1"/>
  <c r="D80" i="12"/>
  <c r="E82"/>
  <c r="W4" i="8"/>
  <c r="V91"/>
  <c r="D82" i="12" l="1"/>
  <c r="K49" i="2" s="1"/>
  <c r="K51"/>
  <c r="W91" i="8"/>
  <c r="X4"/>
  <c r="X91" s="1"/>
</calcChain>
</file>

<file path=xl/comments1.xml><?xml version="1.0" encoding="utf-8"?>
<comments xmlns="http://schemas.openxmlformats.org/spreadsheetml/2006/main">
  <authors>
    <author>FACostello</author>
  </authors>
  <commentList>
    <comment ref="H3" authorId="0">
      <text>
        <r>
          <rPr>
            <sz val="9"/>
            <color indexed="81"/>
            <rFont val="Tahoma"/>
            <family val="2"/>
          </rPr>
          <t xml:space="preserve">
http://www.fairfaxcounty.gov/dmb/fy2016/advertised/volume1.zip</t>
        </r>
      </text>
    </comment>
  </commentList>
</comments>
</file>

<file path=xl/sharedStrings.xml><?xml version="1.0" encoding="utf-8"?>
<sst xmlns="http://schemas.openxmlformats.org/spreadsheetml/2006/main" count="1325" uniqueCount="696">
  <si>
    <t>CPI-U avg</t>
  </si>
  <si>
    <t>Actual</t>
  </si>
  <si>
    <t>Real Property Taxes</t>
  </si>
  <si>
    <t>General Other Local Taxes</t>
  </si>
  <si>
    <t>Permit, Fees &amp; Regulatory Licenses</t>
  </si>
  <si>
    <t>Fines &amp; Forfeitures</t>
  </si>
  <si>
    <t>Revenue from Use of Money &amp; Property</t>
  </si>
  <si>
    <t>Charges for Services</t>
  </si>
  <si>
    <t>Revenue from the Federal Government</t>
  </si>
  <si>
    <t>Recovered Costs/Other Revenue</t>
  </si>
  <si>
    <t>Total Revenue</t>
  </si>
  <si>
    <t>Transfers In</t>
  </si>
  <si>
    <t>Fund 20000 Consolidated Debt Service</t>
  </si>
  <si>
    <t>Fund 40030 Cable Communications</t>
  </si>
  <si>
    <t>Fund 40080 Integrated Pest Management</t>
  </si>
  <si>
    <t>Fund 40100 Stormwater Services</t>
  </si>
  <si>
    <t>Fund 40140 Refuse Collection and Recycling Operations</t>
  </si>
  <si>
    <t>Fund 40150 Refuse Disposal</t>
  </si>
  <si>
    <t>Fund 40160 Energy Resource Recovery (ERR) Facility</t>
  </si>
  <si>
    <t>Fund 40170 I-95 Refuse Disposal</t>
  </si>
  <si>
    <t>Fund 60030 Technology Infrastructure Services</t>
  </si>
  <si>
    <t>Fund 69010 Sewer Operation and Maintenance</t>
  </si>
  <si>
    <t>Fund 80000 Park Revenue</t>
  </si>
  <si>
    <t>Total Transfers In</t>
  </si>
  <si>
    <t>Total Available</t>
  </si>
  <si>
    <t>Personnel Services</t>
  </si>
  <si>
    <t>Operating Expenses</t>
  </si>
  <si>
    <t>Recovered Costs</t>
  </si>
  <si>
    <t>Capital Equipment</t>
  </si>
  <si>
    <t>Revised</t>
  </si>
  <si>
    <t>Transfers Out</t>
  </si>
  <si>
    <t xml:space="preserve">Revenue Stabilization Fund   </t>
  </si>
  <si>
    <t>Public School Operating  (School Transfer Fund)</t>
  </si>
  <si>
    <t xml:space="preserve">County Transit Systems   </t>
  </si>
  <si>
    <t xml:space="preserve">Federal/State Grant Fund   </t>
  </si>
  <si>
    <t xml:space="preserve">Aging Grants &amp; Programs  </t>
  </si>
  <si>
    <t xml:space="preserve">Information Technology    </t>
  </si>
  <si>
    <t xml:space="preserve">Fairfax-Falls Church Community Services Board </t>
  </si>
  <si>
    <t xml:space="preserve">Refuse Collection and Recycling Operations </t>
  </si>
  <si>
    <t xml:space="preserve">Refuse Disposal    </t>
  </si>
  <si>
    <t xml:space="preserve">Energy Resource Recovery (ERR) Facility </t>
  </si>
  <si>
    <t xml:space="preserve">Consolidated Community Funding Pool  </t>
  </si>
  <si>
    <t xml:space="preserve">Contributory Fund    </t>
  </si>
  <si>
    <t xml:space="preserve">E-911 Fund    </t>
  </si>
  <si>
    <t xml:space="preserve">Elderly Housing Programs   </t>
  </si>
  <si>
    <t>Housing Trust Fund</t>
  </si>
  <si>
    <t>School Grants &amp; Self Supporting Fund</t>
  </si>
  <si>
    <t xml:space="preserve">County Debt Service   </t>
  </si>
  <si>
    <t xml:space="preserve">School Debt Service   </t>
  </si>
  <si>
    <t>Countywide Roadway Improvement</t>
  </si>
  <si>
    <t xml:space="preserve">Library Construction    </t>
  </si>
  <si>
    <t xml:space="preserve">Pedestrian Walkway Improvements   </t>
  </si>
  <si>
    <t xml:space="preserve">Public Works Construction   </t>
  </si>
  <si>
    <t xml:space="preserve">Metro Operations &amp; Construction  </t>
  </si>
  <si>
    <t xml:space="preserve">County Bond Construction   </t>
  </si>
  <si>
    <t xml:space="preserve">Public Safety Construction   </t>
  </si>
  <si>
    <t>Trail Construction</t>
  </si>
  <si>
    <t xml:space="preserve">Capital Renewal Construction   </t>
  </si>
  <si>
    <t xml:space="preserve">Stormwater Management Program   </t>
  </si>
  <si>
    <t>The Penny for Affordable Housing Fund</t>
  </si>
  <si>
    <t xml:space="preserve">Housing Assistance Program   </t>
  </si>
  <si>
    <t>Park Capital Improvement Fund</t>
  </si>
  <si>
    <t xml:space="preserve">Retiree Health Benefits Fund  </t>
  </si>
  <si>
    <t xml:space="preserve">County Insurance Fund   </t>
  </si>
  <si>
    <t>Department of Vehicle Services</t>
  </si>
  <si>
    <t xml:space="preserve">Document Services Division   </t>
  </si>
  <si>
    <t xml:space="preserve">Technology Infrastructure Services   </t>
  </si>
  <si>
    <t xml:space="preserve">Health Benefits Trust Fund  </t>
  </si>
  <si>
    <t>Total Disbursements</t>
  </si>
  <si>
    <t>Less:</t>
  </si>
  <si>
    <t>Sorted by new number</t>
  </si>
  <si>
    <t>New</t>
  </si>
  <si>
    <t>Old</t>
  </si>
  <si>
    <t>001</t>
  </si>
  <si>
    <t>10001</t>
  </si>
  <si>
    <t>General Operating</t>
  </si>
  <si>
    <t>002</t>
  </si>
  <si>
    <t>10010</t>
  </si>
  <si>
    <t>Revenue Stabilization</t>
  </si>
  <si>
    <t>090</t>
  </si>
  <si>
    <t>S10000</t>
  </si>
  <si>
    <t>Public School Operating</t>
  </si>
  <si>
    <t>10020</t>
  </si>
  <si>
    <t>118</t>
  </si>
  <si>
    <t>Consolidated Community Funding Pool</t>
  </si>
  <si>
    <t>100</t>
  </si>
  <si>
    <t>40000</t>
  </si>
  <si>
    <t>County Transit Systems</t>
  </si>
  <si>
    <t>10030</t>
  </si>
  <si>
    <t>119</t>
  </si>
  <si>
    <t>Contributory Fund</t>
  </si>
  <si>
    <t>102</t>
  </si>
  <si>
    <t>50000</t>
  </si>
  <si>
    <t>Federal/State Grant Fund</t>
  </si>
  <si>
    <t>10040</t>
  </si>
  <si>
    <t>104</t>
  </si>
  <si>
    <t>Information Technology</t>
  </si>
  <si>
    <t>105</t>
  </si>
  <si>
    <t>40030</t>
  </si>
  <si>
    <t>Cable Communications</t>
  </si>
  <si>
    <t>20000</t>
  </si>
  <si>
    <t>Consolidated County and Schools Debt Service Fund</t>
  </si>
  <si>
    <t>106</t>
  </si>
  <si>
    <t>40040</t>
  </si>
  <si>
    <t>Fairfax‐Falls Church Community Services Board (CSB)</t>
  </si>
  <si>
    <t>108</t>
  </si>
  <si>
    <t>40130</t>
  </si>
  <si>
    <t>Leaf Collection</t>
  </si>
  <si>
    <t>109</t>
  </si>
  <si>
    <t>40140</t>
  </si>
  <si>
    <t>Refuse Collection and Recycling Operations</t>
  </si>
  <si>
    <t>30000</t>
  </si>
  <si>
    <t>309</t>
  </si>
  <si>
    <t>Metro Operations and Construction</t>
  </si>
  <si>
    <t>110</t>
  </si>
  <si>
    <t>40150</t>
  </si>
  <si>
    <t>Refuse Disposal</t>
  </si>
  <si>
    <t>30010</t>
  </si>
  <si>
    <t>303</t>
  </si>
  <si>
    <t>General Construction and Contributions</t>
  </si>
  <si>
    <t>111</t>
  </si>
  <si>
    <t>40050</t>
  </si>
  <si>
    <t>Reston Community Center</t>
  </si>
  <si>
    <t>30020</t>
  </si>
  <si>
    <t>317</t>
  </si>
  <si>
    <t>Capital Renewal Construction</t>
  </si>
  <si>
    <t>112</t>
  </si>
  <si>
    <t>40160</t>
  </si>
  <si>
    <t>Energy/Resource Recovery Facility</t>
  </si>
  <si>
    <t>30030</t>
  </si>
  <si>
    <t>302</t>
  </si>
  <si>
    <t>Library Construction</t>
  </si>
  <si>
    <t>113</t>
  </si>
  <si>
    <t>40060</t>
  </si>
  <si>
    <t>McLean Community Center</t>
  </si>
  <si>
    <t>30040</t>
  </si>
  <si>
    <t>301</t>
  </si>
  <si>
    <t>Contributed Roadway Improvement Fund</t>
  </si>
  <si>
    <t>114</t>
  </si>
  <si>
    <t>40170</t>
  </si>
  <si>
    <t>I‐95 Refuse Disposal</t>
  </si>
  <si>
    <t>30050</t>
  </si>
  <si>
    <t>304</t>
  </si>
  <si>
    <t>Transportation Improvements</t>
  </si>
  <si>
    <t>115</t>
  </si>
  <si>
    <t>40070</t>
  </si>
  <si>
    <t>Burgundy Village Community Center</t>
  </si>
  <si>
    <t>30060</t>
  </si>
  <si>
    <t>307</t>
  </si>
  <si>
    <t>Pedestrian Walkway Improvements</t>
  </si>
  <si>
    <t>116</t>
  </si>
  <si>
    <t>40080</t>
  </si>
  <si>
    <t>Integrated Pest Management Program</t>
  </si>
  <si>
    <t>30070</t>
  </si>
  <si>
    <t>312</t>
  </si>
  <si>
    <t>Public Safety Construction</t>
  </si>
  <si>
    <t>117</t>
  </si>
  <si>
    <t>83000</t>
  </si>
  <si>
    <t>Alcohol Safety Action Program</t>
  </si>
  <si>
    <t>30080</t>
  </si>
  <si>
    <t>315</t>
  </si>
  <si>
    <t>Commercial Revitalization Program</t>
  </si>
  <si>
    <t>30090</t>
  </si>
  <si>
    <t>316</t>
  </si>
  <si>
    <t>Pro Rata Share Drainage Construction</t>
  </si>
  <si>
    <t>30300</t>
  </si>
  <si>
    <t>319</t>
  </si>
  <si>
    <t>120</t>
  </si>
  <si>
    <t>40090</t>
  </si>
  <si>
    <t>E‐911</t>
  </si>
  <si>
    <t>30310</t>
  </si>
  <si>
    <t>340</t>
  </si>
  <si>
    <t>Housing Assistance Program</t>
  </si>
  <si>
    <t>121</t>
  </si>
  <si>
    <t>40110</t>
  </si>
  <si>
    <t>Dulles Rail Phase I Transportation Improvement District</t>
  </si>
  <si>
    <t>30400</t>
  </si>
  <si>
    <t>370</t>
  </si>
  <si>
    <t>Park Authority Bond Construction</t>
  </si>
  <si>
    <t>122</t>
  </si>
  <si>
    <t>40120</t>
  </si>
  <si>
    <t>Dulles Rail Phase II Transportation Improvement District</t>
  </si>
  <si>
    <t>S31000</t>
  </si>
  <si>
    <t>390</t>
  </si>
  <si>
    <t>Public School Construction</t>
  </si>
  <si>
    <t>124</t>
  </si>
  <si>
    <t>40010</t>
  </si>
  <si>
    <t>County and Regional Transportation Projects</t>
  </si>
  <si>
    <t>125</t>
  </si>
  <si>
    <t>40100</t>
  </si>
  <si>
    <t>Stormwater Services</t>
  </si>
  <si>
    <t>141</t>
  </si>
  <si>
    <t>40330</t>
  </si>
  <si>
    <t>Elderly Housing Programs</t>
  </si>
  <si>
    <t>142</t>
  </si>
  <si>
    <t>50800</t>
  </si>
  <si>
    <t>Community Development Block Grant</t>
  </si>
  <si>
    <t>143</t>
  </si>
  <si>
    <t>40360</t>
  </si>
  <si>
    <t>Homeowner and Business Loan Programs</t>
  </si>
  <si>
    <t>144</t>
  </si>
  <si>
    <t>40300</t>
  </si>
  <si>
    <t>145</t>
  </si>
  <si>
    <t>50810</t>
  </si>
  <si>
    <t>HOME Investment Partnership Grant</t>
  </si>
  <si>
    <t>170</t>
  </si>
  <si>
    <t>80000</t>
  </si>
  <si>
    <t>Park Revenue Fund</t>
  </si>
  <si>
    <t>191</t>
  </si>
  <si>
    <t>S40000</t>
  </si>
  <si>
    <t>Public School Food and Nutrition Services Fund</t>
  </si>
  <si>
    <t>192</t>
  </si>
  <si>
    <t>S50000</t>
  </si>
  <si>
    <t>Public School Grants and Self‐Supporting Programs Fund</t>
  </si>
  <si>
    <t>40180</t>
  </si>
  <si>
    <t>Tysons Service District</t>
  </si>
  <si>
    <t>193</t>
  </si>
  <si>
    <t>S43000</t>
  </si>
  <si>
    <t>Public School Adult and Community Education Fund</t>
  </si>
  <si>
    <t>371</t>
  </si>
  <si>
    <t>80300</t>
  </si>
  <si>
    <t>400</t>
  </si>
  <si>
    <t>69000</t>
  </si>
  <si>
    <t>Sewer Revenue</t>
  </si>
  <si>
    <t>401</t>
  </si>
  <si>
    <t>69010</t>
  </si>
  <si>
    <t>Sewer Operation and Maintenance</t>
  </si>
  <si>
    <t>402</t>
  </si>
  <si>
    <t>69300</t>
  </si>
  <si>
    <t>Sewer Construction Improvements</t>
  </si>
  <si>
    <t>60000</t>
  </si>
  <si>
    <t>501</t>
  </si>
  <si>
    <t>County Insurance Fund</t>
  </si>
  <si>
    <t>403</t>
  </si>
  <si>
    <t>69020</t>
  </si>
  <si>
    <t>Sewer Bond Parity Debt Service</t>
  </si>
  <si>
    <t>60010</t>
  </si>
  <si>
    <t>503</t>
  </si>
  <si>
    <t>Department of Vehicle Services (DVS)</t>
  </si>
  <si>
    <t>406</t>
  </si>
  <si>
    <t>69030</t>
  </si>
  <si>
    <t>Sewer Bond Debt Reserve</t>
  </si>
  <si>
    <t>60020</t>
  </si>
  <si>
    <t>504</t>
  </si>
  <si>
    <t>Document Services Division</t>
  </si>
  <si>
    <t>407</t>
  </si>
  <si>
    <t>69040</t>
  </si>
  <si>
    <t>Sewer Bond Subordinate Debt Service</t>
  </si>
  <si>
    <t>60030</t>
  </si>
  <si>
    <t>505</t>
  </si>
  <si>
    <t>Technology Infrastructure Services</t>
  </si>
  <si>
    <t>408</t>
  </si>
  <si>
    <t>69310</t>
  </si>
  <si>
    <t>Sewer Bond Construction</t>
  </si>
  <si>
    <t>60040</t>
  </si>
  <si>
    <t>506</t>
  </si>
  <si>
    <t>Health Benefits Fund</t>
  </si>
  <si>
    <t>S60000</t>
  </si>
  <si>
    <t>590</t>
  </si>
  <si>
    <t>Public School Insurance Fund</t>
  </si>
  <si>
    <t>S62000</t>
  </si>
  <si>
    <t>591</t>
  </si>
  <si>
    <t>Public School Health and Flexible Benefits</t>
  </si>
  <si>
    <t>S63000</t>
  </si>
  <si>
    <t>592</t>
  </si>
  <si>
    <t>Public School Central Procurement</t>
  </si>
  <si>
    <t>600</t>
  </si>
  <si>
    <t>73010</t>
  </si>
  <si>
    <t>Uniformed Retirement Trust Fund</t>
  </si>
  <si>
    <t>601</t>
  </si>
  <si>
    <t>73000</t>
  </si>
  <si>
    <t>Fairfax County Employees’ Retirement Trust Fund</t>
  </si>
  <si>
    <t>602</t>
  </si>
  <si>
    <t>73020</t>
  </si>
  <si>
    <t>Police Officers Retirement Trust Fund</t>
  </si>
  <si>
    <t>603</t>
  </si>
  <si>
    <t>73030</t>
  </si>
  <si>
    <t>OPEB Trust Fund</t>
  </si>
  <si>
    <t>691</t>
  </si>
  <si>
    <t>S71000</t>
  </si>
  <si>
    <t>Educational Employees Supplementary Retirement Fund</t>
  </si>
  <si>
    <t>692</t>
  </si>
  <si>
    <t>S71100</t>
  </si>
  <si>
    <t>Public School OPEB Trust Fund</t>
  </si>
  <si>
    <t>700</t>
  </si>
  <si>
    <t>70000</t>
  </si>
  <si>
    <t>Route 28 Tax District</t>
  </si>
  <si>
    <t>716</t>
  </si>
  <si>
    <t>70040</t>
  </si>
  <si>
    <t>Mosaic District Community Development Authority</t>
  </si>
  <si>
    <t>940</t>
  </si>
  <si>
    <t>81000</t>
  </si>
  <si>
    <t>FCRHA General Operating</t>
  </si>
  <si>
    <t>941</t>
  </si>
  <si>
    <t>81100</t>
  </si>
  <si>
    <t>Fairfax County Rental Program</t>
  </si>
  <si>
    <t>945</t>
  </si>
  <si>
    <t>81020</t>
  </si>
  <si>
    <t>FCRHA Non‐County Appropriated Rehabilitation Loan Program</t>
  </si>
  <si>
    <t>946</t>
  </si>
  <si>
    <t>81030</t>
  </si>
  <si>
    <t>FCRHA Revolving Development</t>
  </si>
  <si>
    <t>948</t>
  </si>
  <si>
    <t>81050</t>
  </si>
  <si>
    <t>FCRHA Private Financing</t>
  </si>
  <si>
    <t>949</t>
  </si>
  <si>
    <t>81060</t>
  </si>
  <si>
    <t>FCRHA Internal Service Fund</t>
  </si>
  <si>
    <t>950</t>
  </si>
  <si>
    <t>81200</t>
  </si>
  <si>
    <t>Housing Partnerships</t>
  </si>
  <si>
    <t>965</t>
  </si>
  <si>
    <t>81500</t>
  </si>
  <si>
    <t>Housing Grant Fund</t>
  </si>
  <si>
    <t>966</t>
  </si>
  <si>
    <t>81510</t>
  </si>
  <si>
    <t>Housing Choice Voucher Program</t>
  </si>
  <si>
    <t>967</t>
  </si>
  <si>
    <t>81520</t>
  </si>
  <si>
    <t>Public Housing Under Management</t>
  </si>
  <si>
    <t>969</t>
  </si>
  <si>
    <t>81530</t>
  </si>
  <si>
    <t>Public Housing Projects Under Modernization</t>
  </si>
  <si>
    <t>201</t>
  </si>
  <si>
    <t>200</t>
  </si>
  <si>
    <t>Sorted by old number</t>
  </si>
  <si>
    <t>Old value</t>
  </si>
  <si>
    <t>20001</t>
  </si>
  <si>
    <t>Schools Debt Service Fund</t>
  </si>
  <si>
    <t>Advertised</t>
  </si>
  <si>
    <t>Total Transfers Out</t>
  </si>
  <si>
    <t>Managed reserve</t>
  </si>
  <si>
    <t>Reserve to balance next year's budget</t>
  </si>
  <si>
    <t>Fiscal year:</t>
  </si>
  <si>
    <t>Report:</t>
  </si>
  <si>
    <t>Fund 10010 Revenue Stabilization Fund</t>
  </si>
  <si>
    <t>Fund 40300 Housing Trust Fund</t>
  </si>
  <si>
    <t>Fund 30030 Library Construction</t>
  </si>
  <si>
    <t>Fund 30060 Pedestrian Walkway Improvements</t>
  </si>
  <si>
    <t>Fund 30010 County Construction</t>
  </si>
  <si>
    <t>Fund S10000 Public School Operating</t>
  </si>
  <si>
    <t>Audit adjustments from previous year</t>
  </si>
  <si>
    <t>Additional balances held in reserve for next year</t>
  </si>
  <si>
    <t>Retirement Reserve</t>
  </si>
  <si>
    <t>OPEB Trust fund</t>
  </si>
  <si>
    <t>Additional revenue for this year</t>
  </si>
  <si>
    <t>Reserve for Board Consideration</t>
  </si>
  <si>
    <t>Reserve to address previous year's shortfall</t>
  </si>
  <si>
    <t>Third-quarter reductions/reserves</t>
  </si>
  <si>
    <t>Child Care Assistance and Referral (CCAR) Reserve</t>
  </si>
  <si>
    <t>Reserve for State/Federal Reductions and Federal Sequestration Cuts</t>
  </si>
  <si>
    <t>Litigation Reserve</t>
  </si>
  <si>
    <t>Transportation Reserve</t>
  </si>
  <si>
    <t>Reserve for next year's budget development</t>
  </si>
  <si>
    <t>Audit adjustments for this year</t>
  </si>
  <si>
    <t>Old fund number</t>
  </si>
  <si>
    <t>New fund number</t>
  </si>
  <si>
    <t xml:space="preserve">10010 </t>
  </si>
  <si>
    <t xml:space="preserve">20000 </t>
  </si>
  <si>
    <t xml:space="preserve">30010 </t>
  </si>
  <si>
    <t xml:space="preserve">30030 </t>
  </si>
  <si>
    <t xml:space="preserve">30060 </t>
  </si>
  <si>
    <t xml:space="preserve">40030 </t>
  </si>
  <si>
    <t xml:space="preserve">40080 </t>
  </si>
  <si>
    <t xml:space="preserve">40100 </t>
  </si>
  <si>
    <t xml:space="preserve">40140 </t>
  </si>
  <si>
    <t xml:space="preserve">40150 </t>
  </si>
  <si>
    <t xml:space="preserve">40160 </t>
  </si>
  <si>
    <t xml:space="preserve">40170 </t>
  </si>
  <si>
    <t xml:space="preserve">40300 </t>
  </si>
  <si>
    <t xml:space="preserve">60030 </t>
  </si>
  <si>
    <t xml:space="preserve">69010 </t>
  </si>
  <si>
    <t xml:space="preserve">80000 </t>
  </si>
  <si>
    <t>311</t>
  </si>
  <si>
    <t>Ending balance</t>
  </si>
  <si>
    <t>Non-school Fringe Benefits</t>
  </si>
  <si>
    <t>Adopted</t>
  </si>
  <si>
    <t># Agency Title</t>
  </si>
  <si>
    <t>Legislative-Executive Functions / Central Services</t>
  </si>
  <si>
    <t>01 Board of Supervisors</t>
  </si>
  <si>
    <t>02 Office of the County Executive</t>
  </si>
  <si>
    <t>06 Department of Finance</t>
  </si>
  <si>
    <t>11 Department of Human Resources</t>
  </si>
  <si>
    <t>13 Office of Public Affairs</t>
  </si>
  <si>
    <t>15 Office of Elections</t>
  </si>
  <si>
    <t>17 Office of the County Attorney</t>
  </si>
  <si>
    <t>20 Department of Management and Budget</t>
  </si>
  <si>
    <t>37 Office of the Financial and Program Auditor</t>
  </si>
  <si>
    <t>41 Civil Service Commission</t>
  </si>
  <si>
    <t>57 Department of Tax Administration</t>
  </si>
  <si>
    <t>70 Department of Information Technology</t>
  </si>
  <si>
    <t>Judicial Administration</t>
  </si>
  <si>
    <t>80 Circuit Court and Records</t>
  </si>
  <si>
    <t>82 Office of the Commonwealth's Attorney</t>
  </si>
  <si>
    <t>85 General District Court</t>
  </si>
  <si>
    <t>91 Office of the Sheriff</t>
  </si>
  <si>
    <t>Total Judicial Administration</t>
  </si>
  <si>
    <t>Public Safety</t>
  </si>
  <si>
    <t>31 Land Development Services</t>
  </si>
  <si>
    <t>90 Police Department</t>
  </si>
  <si>
    <t>92 Fire and Rescue Department</t>
  </si>
  <si>
    <t>93 Office of Emergency Management</t>
  </si>
  <si>
    <t>97 Department of Code Compliance</t>
  </si>
  <si>
    <t>Total Public Safety</t>
  </si>
  <si>
    <t>Public Works</t>
  </si>
  <si>
    <t>08 Facilities Management Department</t>
  </si>
  <si>
    <t>25 Business Planning and Support</t>
  </si>
  <si>
    <t>26 Office of Capital Facilities</t>
  </si>
  <si>
    <t>87 Unclassified Administrative Expenses</t>
  </si>
  <si>
    <t>Total Public Works</t>
  </si>
  <si>
    <t>04 Department of Cable and Consumer Services</t>
  </si>
  <si>
    <t>12 Department of Purchasing and Supply Management</t>
  </si>
  <si>
    <t>Total Legislative-Executive Functions / Central Services</t>
  </si>
  <si>
    <t>81 Juvenile and Domestic Relations District Court</t>
  </si>
  <si>
    <t>Health and Welfare</t>
  </si>
  <si>
    <t>67 Department of Family Services</t>
  </si>
  <si>
    <t>68 Department of Administration for Human Services</t>
  </si>
  <si>
    <t>71 Health Department</t>
  </si>
  <si>
    <t>73 Office to Prevent and End Homelessness</t>
  </si>
  <si>
    <t>79 Department of Neighborhood and Community Services</t>
  </si>
  <si>
    <t>Total Health and Welfare</t>
  </si>
  <si>
    <t>Parks and Libraries</t>
  </si>
  <si>
    <t>51 Fairfax County Park Authority</t>
  </si>
  <si>
    <t>52 Fairfax County Public Library</t>
  </si>
  <si>
    <t>Total Parks and Libraries</t>
  </si>
  <si>
    <t>Community Development</t>
  </si>
  <si>
    <t>16 Economic Development Authority</t>
  </si>
  <si>
    <t>35 Department of Planning and Zoning</t>
  </si>
  <si>
    <t>36 Planning Commission</t>
  </si>
  <si>
    <t>38 Department of Housing and Community Development</t>
  </si>
  <si>
    <t>39 Office of Human Rights and Equity Programs</t>
  </si>
  <si>
    <t>40 Department of Transportation</t>
  </si>
  <si>
    <t>Total Community Development</t>
  </si>
  <si>
    <t>Nondepartmental</t>
  </si>
  <si>
    <t>89 Employee Benefits</t>
  </si>
  <si>
    <t>Total Nondepartmental</t>
  </si>
  <si>
    <t>Total General Fund Direct Expenditures</t>
  </si>
  <si>
    <t>The New are Fund Numbers</t>
  </si>
  <si>
    <t>Source of this table:</t>
  </si>
  <si>
    <t>Fiscal Year 2014 Advertised Budget Volume 2.pdf</t>
  </si>
  <si>
    <t>County Bond Construction</t>
  </si>
  <si>
    <t>103</t>
  </si>
  <si>
    <t>300</t>
  </si>
  <si>
    <t>308</t>
  </si>
  <si>
    <t>313</t>
  </si>
  <si>
    <t>318</t>
  </si>
  <si>
    <t>500</t>
  </si>
  <si>
    <t/>
  </si>
  <si>
    <t>00103</t>
  </si>
  <si>
    <t>00308</t>
  </si>
  <si>
    <t>00313</t>
  </si>
  <si>
    <t>Fund 40000 County Transit Systems</t>
  </si>
  <si>
    <t xml:space="preserve">69 Department of Systems Management for Human Services </t>
  </si>
  <si>
    <t xml:space="preserve">50 Department of Community and Recreation Services </t>
  </si>
  <si>
    <t>069</t>
  </si>
  <si>
    <t>050</t>
  </si>
  <si>
    <t>Total Direct Expenditures (per County Balance)</t>
  </si>
  <si>
    <t>FY2014 vol 1</t>
  </si>
  <si>
    <t>FY2012 vol1</t>
  </si>
  <si>
    <t>FY2013 vol 1</t>
  </si>
  <si>
    <t>FY2011 vol 1</t>
  </si>
  <si>
    <t xml:space="preserve">29 Stormwater Management </t>
  </si>
  <si>
    <t>FY2010 vol 1</t>
  </si>
  <si>
    <t>FY2009 vol 1</t>
  </si>
  <si>
    <t>FY2008 vol 1</t>
  </si>
  <si>
    <t>FY2007 vol 1</t>
  </si>
  <si>
    <t>FY2006 vol 1</t>
  </si>
  <si>
    <t>FY2005 vol 1</t>
  </si>
  <si>
    <t>FY2004 vol 1</t>
  </si>
  <si>
    <t>FY2003 vol 1</t>
  </si>
  <si>
    <t>FY2002 vol 1</t>
  </si>
  <si>
    <t>05 Office for Women $</t>
  </si>
  <si>
    <t>96 Animal Shelter</t>
  </si>
  <si>
    <t>88 Contributory Agencies</t>
  </si>
  <si>
    <t>32 Office of Building Code Services</t>
  </si>
  <si>
    <t>032</t>
  </si>
  <si>
    <t>088</t>
  </si>
  <si>
    <t>22 Project Engineering Division</t>
  </si>
  <si>
    <t>022</t>
  </si>
  <si>
    <t>28 Utilities Planning and Design Division</t>
  </si>
  <si>
    <t>028</t>
  </si>
  <si>
    <t>33 Land Acquisition Division</t>
  </si>
  <si>
    <t>029</t>
  </si>
  <si>
    <t>033</t>
  </si>
  <si>
    <t>30 Environmental Services Administration Division</t>
  </si>
  <si>
    <t>FY2001 Vol 1</t>
  </si>
  <si>
    <t>Total Direct Expenditures (per Detailed Expenditures, as a check)</t>
  </si>
  <si>
    <t>agency</t>
  </si>
  <si>
    <t>Total expenditures</t>
  </si>
  <si>
    <t>Transportation Improvements (Primary and Secondary road construction)</t>
  </si>
  <si>
    <t>This group, as a percent of total expenditures</t>
  </si>
  <si>
    <t>Beginning Balance (= previous year's ending balance)</t>
  </si>
  <si>
    <t>Total revenue</t>
  </si>
  <si>
    <t>(the .pdf as found at the County website)</t>
  </si>
  <si>
    <t>FCPS Expenditures/Income to County Residents</t>
  </si>
  <si>
    <t>Millions of current-year dollars</t>
  </si>
  <si>
    <t>FCPS expenditures, millions of current-year dollars</t>
  </si>
  <si>
    <t>FCPS expenditures, millions of 2014$</t>
  </si>
  <si>
    <t>Not including salaries</t>
  </si>
  <si>
    <t xml:space="preserve">    in 2014$</t>
  </si>
  <si>
    <t>Income includes that paid to resident county workers</t>
  </si>
  <si>
    <t>Ratio to Total Income of County</t>
  </si>
  <si>
    <t>Real-estate revenue, 2014$</t>
  </si>
  <si>
    <t>TOTAL</t>
  </si>
  <si>
    <t>As a percent of TOTAL</t>
  </si>
  <si>
    <t>Other transfers</t>
  </si>
  <si>
    <t>Welfare transfers</t>
  </si>
  <si>
    <t>Education transfers (includes debt, benefits)</t>
  </si>
  <si>
    <t>County debt</t>
  </si>
  <si>
    <t>OPEB, Retiree health benefits</t>
  </si>
  <si>
    <t>FY2015 Vol 1</t>
  </si>
  <si>
    <t>Source of following is, for example:</t>
  </si>
  <si>
    <t>http://www.fcps.edu/fs/budget/budgetdocuments.shtml</t>
  </si>
  <si>
    <t>Sum of the Major Expenditures</t>
  </si>
  <si>
    <t>Revenues and Major Expenditures</t>
  </si>
  <si>
    <r>
      <t>Personal Property Taxes</t>
    </r>
    <r>
      <rPr>
        <vertAlign val="superscript"/>
        <sz val="11"/>
        <rFont val="Calibri"/>
        <family val="2"/>
        <scheme val="minor"/>
      </rPr>
      <t>1</t>
    </r>
    <r>
      <rPr>
        <sz val="5"/>
        <rFont val="Arial"/>
        <family val="2"/>
      </rPr>
      <t/>
    </r>
  </si>
  <si>
    <r>
      <t>Revenue from the Commonwealth</t>
    </r>
    <r>
      <rPr>
        <vertAlign val="superscript"/>
        <sz val="11"/>
        <rFont val="Calibri"/>
        <family val="2"/>
        <scheme val="minor"/>
      </rPr>
      <t>1</t>
    </r>
    <r>
      <rPr>
        <sz val="5"/>
        <rFont val="Arial"/>
        <family val="2"/>
      </rPr>
      <t/>
    </r>
  </si>
  <si>
    <r>
      <t>Personal Property Taxes</t>
    </r>
    <r>
      <rPr>
        <sz val="5"/>
        <color theme="1"/>
        <rFont val="Arial"/>
        <family val="2"/>
      </rPr>
      <t/>
    </r>
  </si>
  <si>
    <r>
      <t>Revenue from the Commonwealth</t>
    </r>
    <r>
      <rPr>
        <vertAlign val="superscript"/>
        <sz val="7.5"/>
        <rFont val="Calibri"/>
        <family val="2"/>
        <scheme val="minor"/>
      </rPr>
      <t>1</t>
    </r>
    <r>
      <rPr>
        <sz val="5"/>
        <rFont val="Arial"/>
        <family val="2"/>
      </rPr>
      <t/>
    </r>
  </si>
  <si>
    <t>Revenue (in millions of 2014 dollars)</t>
  </si>
  <si>
    <t>Fiscal year</t>
  </si>
  <si>
    <t>Major Expenditures (in millions of 2014 dollars)</t>
  </si>
  <si>
    <t>Expenditures according to agency (in millions of 2014 dollars)</t>
  </si>
  <si>
    <t>In millions of 2014$</t>
  </si>
  <si>
    <t>Revenue (in current-year dollars)</t>
  </si>
  <si>
    <t>Revenue (in millions of 2014$)</t>
  </si>
  <si>
    <t>Direct Expenditures (in millions of 2014$)</t>
  </si>
  <si>
    <t>Direct Expenditures (in current-year dollars)</t>
  </si>
  <si>
    <t>Fund 40040 Fairfax-Falls Church
Community Services Board</t>
  </si>
  <si>
    <t>Fund 30070 Public Safety Construction</t>
  </si>
  <si>
    <t>Fund 60010 Department of Vehicle Services</t>
  </si>
  <si>
    <t>Fund 60020 Document Services</t>
  </si>
  <si>
    <t>Fund 30010 County Bond Construction</t>
  </si>
  <si>
    <t>Reductions and One-Time Requirements 6</t>
  </si>
  <si>
    <t>Expenditures as a Percent of Total Household Income (county part, school part, total)</t>
  </si>
  <si>
    <t>graph to be added</t>
  </si>
  <si>
    <t>County plus FCPS Expenditures/Income to County Residents</t>
  </si>
  <si>
    <t>Real-estate revenue/Income to County Residents</t>
  </si>
  <si>
    <t>County expenditures (school transfer not shown), 2014$</t>
  </si>
  <si>
    <t>FY 2016 ADVERTISED SUMMARY GENERAL FUND DIRECT EXPENDITURES</t>
  </si>
  <si>
    <t>CPI-U</t>
  </si>
  <si>
    <t>Total Reserve Funds</t>
  </si>
  <si>
    <t>from individual budgets (e.g. Vol 1, Pg 25)</t>
  </si>
  <si>
    <t>FTE's</t>
  </si>
  <si>
    <t>Judicial listed as "State"</t>
  </si>
  <si>
    <t>Fund 40010</t>
  </si>
  <si>
    <t>Fund 40040</t>
  </si>
  <si>
    <t>Fund 40030</t>
  </si>
  <si>
    <t>Fund 40050</t>
  </si>
  <si>
    <t>Fund 40060</t>
  </si>
  <si>
    <t>Fund 40070</t>
  </si>
  <si>
    <t>Fund 40080</t>
  </si>
  <si>
    <t>Fund 40090 E-911</t>
  </si>
  <si>
    <t>Fund 40100 Stormwater</t>
  </si>
  <si>
    <t>Fund 40140 Refuse Collection</t>
  </si>
  <si>
    <t>Fund 40160 Energy</t>
  </si>
  <si>
    <t>Fund 40170 I=95 Refuse Disposal</t>
  </si>
  <si>
    <t>60000 County Insurance</t>
  </si>
  <si>
    <t>60010 Vehicle Service</t>
  </si>
  <si>
    <t>60020 Document Services</t>
  </si>
  <si>
    <t>left off here</t>
  </si>
  <si>
    <t>Revenue in millions of $</t>
  </si>
  <si>
    <t>In 2014$</t>
  </si>
  <si>
    <t>Collected</t>
  </si>
  <si>
    <t>Budget</t>
  </si>
  <si>
    <t>Collected is from text in carry-over review</t>
  </si>
  <si>
    <t>B.P.O.L.Collected, Current-year $</t>
  </si>
  <si>
    <t>B.P.O.L.Budgeted, Current-year $</t>
  </si>
  <si>
    <t xml:space="preserve">Single Family </t>
  </si>
  <si>
    <t xml:space="preserve">Townhouse/Duplex </t>
  </si>
  <si>
    <t xml:space="preserve">Condominiums </t>
  </si>
  <si>
    <t xml:space="preserve">Vacant Land </t>
  </si>
  <si>
    <t xml:space="preserve">Total Residential Equalization </t>
  </si>
  <si>
    <t xml:space="preserve">Other (0.5) </t>
  </si>
  <si>
    <t>% of base in 2006</t>
  </si>
  <si>
    <t xml:space="preserve">Apartments </t>
  </si>
  <si>
    <t xml:space="preserve">Office Condominiums </t>
  </si>
  <si>
    <t xml:space="preserve">Industrial </t>
  </si>
  <si>
    <t xml:space="preserve">Retail (16.0) </t>
  </si>
  <si>
    <t xml:space="preserve">Office Elevator </t>
  </si>
  <si>
    <t xml:space="preserve">Office - Low Rise </t>
  </si>
  <si>
    <t>Hotels (3.</t>
  </si>
  <si>
    <t xml:space="preserve">Other (6.0) </t>
  </si>
  <si>
    <t xml:space="preserve">Nonresidential Equalization </t>
  </si>
  <si>
    <t>Retail</t>
  </si>
  <si>
    <t>Hotels</t>
  </si>
  <si>
    <t>Other</t>
  </si>
  <si>
    <t>From WABE</t>
  </si>
  <si>
    <t>http://www.fcps.edu/fs/budget/wabe/</t>
  </si>
  <si>
    <t>http://www.fcps.edu/news/fy2014.shtml</t>
  </si>
  <si>
    <t>Source:</t>
  </si>
  <si>
    <t>WABE</t>
  </si>
  <si>
    <t>Proposed</t>
  </si>
  <si>
    <t>Approved</t>
  </si>
  <si>
    <t>County population</t>
  </si>
  <si>
    <t>Housing units</t>
  </si>
  <si>
    <t>CPI-U (annual average)</t>
  </si>
  <si>
    <t>School employees</t>
  </si>
  <si>
    <t>County employees</t>
  </si>
  <si>
    <t>Derived data</t>
  </si>
  <si>
    <t>School operating budget</t>
  </si>
  <si>
    <t>School total budget</t>
  </si>
  <si>
    <t>Total operating budget</t>
  </si>
  <si>
    <t>County total budget</t>
  </si>
  <si>
    <t>From CAFR:</t>
  </si>
  <si>
    <t>Ratio: expenditures per household</t>
  </si>
  <si>
    <t>Ratio: expenditures per household/median income per household</t>
  </si>
  <si>
    <t>County operating budget (less school transfer)</t>
  </si>
  <si>
    <t>Median household income (Rept 145)</t>
  </si>
  <si>
    <t>Average household income (Rept 145)</t>
  </si>
  <si>
    <t>http://www.fairfaxcounty.gov/finance/cafr.htm</t>
  </si>
  <si>
    <t>Median SFD house price</t>
  </si>
  <si>
    <t>Tax rate per $100 of assessed value</t>
  </si>
  <si>
    <t>Tax rate</t>
  </si>
  <si>
    <t>Mean assessed value</t>
  </si>
  <si>
    <t>Tax</t>
  </si>
  <si>
    <t>December CPI-U ratio to 2010</t>
  </si>
  <si>
    <t>Tax in 2014$</t>
  </si>
  <si>
    <t>Median household income</t>
  </si>
  <si>
    <t>Median household Income in 2014$</t>
  </si>
  <si>
    <t>Mean Real-Estate Tax in 2014$ * 30</t>
  </si>
  <si>
    <t>actual</t>
  </si>
  <si>
    <t>adopted</t>
  </si>
  <si>
    <t>advertised</t>
  </si>
  <si>
    <t>School Construcction</t>
  </si>
  <si>
    <t>Fund 10001, General Fund</t>
  </si>
  <si>
    <t>rate of increase in last two years</t>
  </si>
  <si>
    <t>Rate of increase, 2016 to 2017</t>
  </si>
  <si>
    <t>median income</t>
  </si>
  <si>
    <t>median real-estate tax</t>
  </si>
  <si>
    <t>Rates of increase, 2016-2017</t>
  </si>
  <si>
    <t>all others "actual"</t>
  </si>
  <si>
    <t>2014-2016</t>
  </si>
  <si>
    <t>advertised and adopted</t>
  </si>
  <si>
    <t>Rates of increase, 2016-2017 (2014$)</t>
  </si>
  <si>
    <t>County General Fund (excluding FCPS transfer)/Income to County Residents</t>
  </si>
  <si>
    <t>county plus school</t>
  </si>
  <si>
    <t>Increase, 2016-2017</t>
  </si>
  <si>
    <t>school</t>
  </si>
  <si>
    <t>School transfer =</t>
  </si>
  <si>
    <t>in 2017</t>
  </si>
  <si>
    <t>in 2000</t>
  </si>
  <si>
    <t>in 2017 (2014$)</t>
  </si>
  <si>
    <t>in 2000 (2014$)</t>
  </si>
  <si>
    <t>updated to FY2017 advertised</t>
  </si>
  <si>
    <t>Year-to-year equalization</t>
  </si>
  <si>
    <t>Non-Residential year-to-year equalization</t>
  </si>
  <si>
    <t>Cumulative equalization</t>
  </si>
  <si>
    <t>Cumulative non-residential equalization</t>
  </si>
  <si>
    <t>Population increase</t>
  </si>
  <si>
    <t>approximately</t>
  </si>
  <si>
    <t>Increase from previous year</t>
  </si>
  <si>
    <t>is this a presidential year effect?</t>
  </si>
  <si>
    <t>what incidents have made this increase necessary?</t>
  </si>
  <si>
    <t>another attorney increase?</t>
  </si>
  <si>
    <t>why such a large increase?</t>
  </si>
  <si>
    <t>why the increase?</t>
  </si>
  <si>
    <t>where can I find the stormwater budget</t>
  </si>
  <si>
    <t>these are all large increases.  Why?</t>
  </si>
  <si>
    <t>05 Office for Women</t>
  </si>
  <si>
    <t>three years of large increases!</t>
  </si>
  <si>
    <t>why such a large increase</t>
  </si>
  <si>
    <t>Page 220 of FY2017 budget</t>
  </si>
  <si>
    <t>Page 223 of FY2017 budget</t>
  </si>
  <si>
    <t>Enrollment</t>
  </si>
  <si>
    <t>Equiv regular students</t>
  </si>
  <si>
    <t>benefits increased faster than inflation.</t>
  </si>
  <si>
    <t>Budget Overview, Pg 106 in 2017</t>
  </si>
  <si>
    <t>Real-estate taxes are increasing much faster than</t>
  </si>
  <si>
    <t>is for salary and benefit increases for the county</t>
  </si>
  <si>
    <t>income is increasing.  By far, most of the tax increase</t>
  </si>
  <si>
    <t>and school employees.  The process hurts the poor,</t>
  </si>
  <si>
    <t>those slightly above the welfare, the most.  How</t>
  </si>
  <si>
    <t>can this trend be stopped?</t>
  </si>
  <si>
    <t>Total real estate taxable valuation, $M (Pg 233)</t>
  </si>
  <si>
    <t>Budget (Pg 102 in 2017)</t>
  </si>
  <si>
    <t>Commercial/Industrial assessments as a ratio to the total assessed value of all real estate (Pg 107 in 2017)</t>
  </si>
  <si>
    <t>Not including county's and school's personnel services</t>
  </si>
  <si>
    <t>Ratio to Total County Income to County Household Income</t>
  </si>
  <si>
    <t>http://www.fairfaxcounty.gov/demogrph/census_summaries/acs-1year/acs2014.pdf</t>
  </si>
  <si>
    <r>
      <t>Income to County Residents</t>
    </r>
    <r>
      <rPr>
        <sz val="14"/>
        <rFont val="Calibri"/>
        <family val="2"/>
        <scheme val="minor"/>
      </rPr>
      <t xml:space="preserve"> </t>
    </r>
    <r>
      <rPr>
        <sz val="10"/>
        <rFont val="Calibri"/>
        <family val="2"/>
        <scheme val="minor"/>
      </rPr>
      <t>(computed from CPI ratio for recent years)</t>
    </r>
  </si>
  <si>
    <t>the lower value is the actual and the upper</t>
  </si>
  <si>
    <t>value is the adopted, revised, or advertised.</t>
  </si>
  <si>
    <t>increase since 2000</t>
  </si>
  <si>
    <t>The increases occurred because the salary and</t>
  </si>
  <si>
    <t xml:space="preserve">Where two values are shown for a given year, </t>
  </si>
  <si>
    <t>Tax rates, assessed value, household income</t>
  </si>
  <si>
    <t>Updated to 2017</t>
  </si>
  <si>
    <t>Total</t>
  </si>
  <si>
    <t>Vol 1, Pg 259 (in FY2017) has for the total number of employees</t>
  </si>
  <si>
    <t xml:space="preserve">   General Fund</t>
  </si>
  <si>
    <t xml:space="preserve">   General Fund Supported</t>
  </si>
  <si>
    <t xml:space="preserve">   Other funds</t>
  </si>
  <si>
    <t xml:space="preserve">   Grand total</t>
  </si>
  <si>
    <t>The total number of employees is always less than the total number of positions.</t>
  </si>
  <si>
    <t>From Volume 2 (from a search for "(FTE)")</t>
  </si>
</sst>
</file>

<file path=xl/styles.xml><?xml version="1.0" encoding="utf-8"?>
<styleSheet xmlns="http://schemas.openxmlformats.org/spreadsheetml/2006/main">
  <numFmts count="16">
    <numFmt numFmtId="5" formatCode="&quot;$&quot;#,##0_);\(&quot;$&quot;#,##0\)"/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;&quot;$&quot;\-#,##0"/>
    <numFmt numFmtId="165" formatCode="0.0%"/>
    <numFmt numFmtId="166" formatCode="_(&quot;$&quot;* #,##0_);_(&quot;$&quot;* \(#,##0\);_(&quot;$&quot;* &quot;-&quot;??_);_(@_)"/>
    <numFmt numFmtId="167" formatCode="0.0"/>
    <numFmt numFmtId="168" formatCode="&quot;$&quot;#,##0.00;&quot;$&quot;\-#,##0.00"/>
    <numFmt numFmtId="169" formatCode="&quot;$&quot;#,##0.00"/>
    <numFmt numFmtId="171" formatCode="0.000"/>
    <numFmt numFmtId="172" formatCode="_(* #,##0_);_(* \(#,##0\);_(* &quot;-&quot;??_);_(@_)"/>
    <numFmt numFmtId="176" formatCode="#,##0.0"/>
    <numFmt numFmtId="177" formatCode="0.000%"/>
    <numFmt numFmtId="178" formatCode="&quot;$&quot;#,##0;[Red]&quot;$&quot;#,##0"/>
  </numFmts>
  <fonts count="2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5"/>
      <name val="Arial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70C0"/>
      <name val="Calibri"/>
      <family val="2"/>
      <scheme val="minor"/>
    </font>
    <font>
      <u/>
      <sz val="11"/>
      <color theme="10"/>
      <name val="Calibri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11"/>
      <name val="Calibri"/>
      <family val="2"/>
      <scheme val="minor"/>
    </font>
    <font>
      <b/>
      <sz val="14"/>
      <name val="Calibri"/>
      <family val="2"/>
      <scheme val="minor"/>
    </font>
    <font>
      <sz val="10"/>
      <name val="Calibri"/>
      <family val="2"/>
      <scheme val="minor"/>
    </font>
    <font>
      <sz val="5"/>
      <color theme="1"/>
      <name val="Arial"/>
      <family val="2"/>
    </font>
    <font>
      <vertAlign val="superscript"/>
      <sz val="7.5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</font>
    <font>
      <sz val="9"/>
      <color indexed="81"/>
      <name val="Tahoma"/>
      <family val="2"/>
    </font>
    <font>
      <sz val="14"/>
      <name val="Calibri"/>
      <family val="2"/>
      <scheme val="minor"/>
    </font>
    <font>
      <b/>
      <sz val="10"/>
      <name val="Tahoma"/>
      <family val="2"/>
    </font>
    <font>
      <u/>
      <sz val="10"/>
      <color theme="10"/>
      <name val="Arial"/>
      <family val="2"/>
    </font>
    <font>
      <sz val="10"/>
      <name val="Tahoma"/>
      <family val="2"/>
    </font>
    <font>
      <sz val="11"/>
      <color rgb="FF000000"/>
      <name val="Arial"/>
      <family val="2"/>
    </font>
    <font>
      <b/>
      <sz val="10"/>
      <name val="Arial"/>
      <family val="2"/>
    </font>
    <font>
      <i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CF4F8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FFFFFF"/>
      </left>
      <right style="medium">
        <color rgb="FFAAAAAA"/>
      </right>
      <top style="medium">
        <color rgb="FFAAAAAA"/>
      </top>
      <bottom style="medium">
        <color rgb="FFAAAAAA"/>
      </bottom>
      <diagonal/>
    </border>
    <border>
      <left style="medium">
        <color rgb="FFFFFFFF"/>
      </left>
      <right style="medium">
        <color rgb="FFAAAAAA"/>
      </right>
      <top style="medium">
        <color rgb="FFFFFFFF"/>
      </top>
      <bottom style="medium">
        <color rgb="FFAAAAAA"/>
      </bottom>
      <diagonal/>
    </border>
    <border>
      <left style="medium">
        <color rgb="FFFFFFFF"/>
      </left>
      <right style="medium">
        <color rgb="FFAAAAAA"/>
      </right>
      <top style="medium">
        <color rgb="FFFFFFFF"/>
      </top>
      <bottom/>
      <diagonal/>
    </border>
    <border>
      <left style="medium">
        <color rgb="FFFFFFFF"/>
      </left>
      <right style="medium">
        <color rgb="FFAAAAAA"/>
      </right>
      <top/>
      <bottom/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0" fontId="2" fillId="0" borderId="0"/>
    <xf numFmtId="44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17" fillId="0" borderId="0"/>
    <xf numFmtId="43" fontId="1" fillId="0" borderId="0" applyFont="0" applyFill="0" applyBorder="0" applyAlignment="0" applyProtection="0"/>
  </cellStyleXfs>
  <cellXfs count="148">
    <xf numFmtId="0" fontId="0" fillId="0" borderId="0" xfId="0"/>
    <xf numFmtId="165" fontId="0" fillId="0" borderId="0" xfId="1" applyNumberFormat="1" applyFont="1"/>
    <xf numFmtId="0" fontId="4" fillId="0" borderId="0" xfId="0" applyFont="1"/>
    <xf numFmtId="6" fontId="0" fillId="0" borderId="0" xfId="0" applyNumberFormat="1"/>
    <xf numFmtId="3" fontId="0" fillId="0" borderId="0" xfId="0" applyNumberFormat="1"/>
    <xf numFmtId="0" fontId="0" fillId="0" borderId="0" xfId="0" quotePrefix="1"/>
    <xf numFmtId="164" fontId="4" fillId="0" borderId="0" xfId="0" applyNumberFormat="1" applyFont="1"/>
    <xf numFmtId="0" fontId="6" fillId="0" borderId="0" xfId="0" quotePrefix="1" applyFont="1"/>
    <xf numFmtId="0" fontId="0" fillId="0" borderId="0" xfId="0" applyAlignment="1">
      <alignment horizontal="left"/>
    </xf>
    <xf numFmtId="0" fontId="7" fillId="0" borderId="0" xfId="0" applyFont="1"/>
    <xf numFmtId="49" fontId="0" fillId="0" borderId="0" xfId="0" applyNumberFormat="1" applyAlignment="1">
      <alignment horizontal="left"/>
    </xf>
    <xf numFmtId="0" fontId="0" fillId="0" borderId="0" xfId="0" applyNumberFormat="1"/>
    <xf numFmtId="0" fontId="0" fillId="0" borderId="0" xfId="0" quotePrefix="1" applyNumberFormat="1" applyAlignment="1">
      <alignment horizontal="left"/>
    </xf>
    <xf numFmtId="0" fontId="0" fillId="0" borderId="0" xfId="0" applyAlignment="1">
      <alignment horizontal="center"/>
    </xf>
    <xf numFmtId="5" fontId="6" fillId="0" borderId="0" xfId="0" applyNumberFormat="1" applyFont="1"/>
    <xf numFmtId="0" fontId="0" fillId="0" borderId="0" xfId="0" applyFont="1"/>
    <xf numFmtId="3" fontId="0" fillId="0" borderId="1" xfId="0" applyNumberFormat="1" applyBorder="1"/>
    <xf numFmtId="164" fontId="0" fillId="0" borderId="0" xfId="0" applyNumberFormat="1" applyFont="1"/>
    <xf numFmtId="0" fontId="0" fillId="0" borderId="0" xfId="0" applyFill="1" applyBorder="1" applyAlignment="1">
      <alignment horizontal="center"/>
    </xf>
    <xf numFmtId="0" fontId="0" fillId="0" borderId="0" xfId="0" applyFill="1" applyBorder="1"/>
    <xf numFmtId="6" fontId="0" fillId="0" borderId="1" xfId="0" applyNumberFormat="1" applyBorder="1"/>
    <xf numFmtId="0" fontId="4" fillId="0" borderId="0" xfId="0" applyFont="1" applyAlignment="1"/>
    <xf numFmtId="0" fontId="0" fillId="0" borderId="0" xfId="0" applyFont="1" applyFill="1" applyBorder="1" applyAlignment="1">
      <alignment horizontal="center"/>
    </xf>
    <xf numFmtId="164" fontId="0" fillId="0" borderId="0" xfId="0" applyNumberFormat="1" applyFont="1" applyAlignment="1">
      <alignment horizontal="right" wrapText="1"/>
    </xf>
    <xf numFmtId="0" fontId="0" fillId="0" borderId="0" xfId="0" applyFont="1" applyFill="1" applyBorder="1"/>
    <xf numFmtId="164" fontId="10" fillId="0" borderId="0" xfId="0" applyNumberFormat="1" applyFont="1"/>
    <xf numFmtId="0" fontId="10" fillId="0" borderId="0" xfId="0" applyFont="1"/>
    <xf numFmtId="5" fontId="0" fillId="0" borderId="0" xfId="0" applyNumberFormat="1" applyFont="1"/>
    <xf numFmtId="164" fontId="0" fillId="0" borderId="1" xfId="0" applyNumberFormat="1" applyFont="1" applyBorder="1"/>
    <xf numFmtId="164" fontId="0" fillId="0" borderId="0" xfId="0" applyNumberFormat="1" applyFont="1" applyBorder="1"/>
    <xf numFmtId="5" fontId="0" fillId="0" borderId="1" xfId="0" applyNumberFormat="1" applyFont="1" applyBorder="1"/>
    <xf numFmtId="164" fontId="0" fillId="0" borderId="2" xfId="0" applyNumberFormat="1" applyFont="1" applyBorder="1"/>
    <xf numFmtId="164" fontId="0" fillId="2" borderId="0" xfId="0" applyNumberFormat="1" applyFont="1" applyFill="1"/>
    <xf numFmtId="164" fontId="0" fillId="2" borderId="0" xfId="0" applyNumberFormat="1" applyFont="1" applyFill="1" applyBorder="1"/>
    <xf numFmtId="5" fontId="0" fillId="2" borderId="0" xfId="0" applyNumberFormat="1" applyFont="1" applyFill="1"/>
    <xf numFmtId="164" fontId="0" fillId="0" borderId="0" xfId="0" applyNumberFormat="1" applyFont="1" applyFill="1" applyBorder="1"/>
    <xf numFmtId="6" fontId="0" fillId="0" borderId="0" xfId="0" applyNumberFormat="1" applyFont="1"/>
    <xf numFmtId="168" fontId="0" fillId="0" borderId="0" xfId="0" applyNumberFormat="1" applyFont="1"/>
    <xf numFmtId="6" fontId="0" fillId="0" borderId="1" xfId="0" applyNumberFormat="1" applyFont="1" applyFill="1" applyBorder="1"/>
    <xf numFmtId="6" fontId="0" fillId="0" borderId="0" xfId="0" applyNumberFormat="1" applyFont="1" applyBorder="1"/>
    <xf numFmtId="5" fontId="0" fillId="0" borderId="0" xfId="0" applyNumberFormat="1" applyFont="1" applyBorder="1"/>
    <xf numFmtId="164" fontId="12" fillId="0" borderId="0" xfId="0" applyNumberFormat="1" applyFont="1" applyFill="1"/>
    <xf numFmtId="164" fontId="13" fillId="0" borderId="0" xfId="0" applyNumberFormat="1" applyFont="1"/>
    <xf numFmtId="167" fontId="0" fillId="0" borderId="0" xfId="0" applyNumberFormat="1" applyFont="1"/>
    <xf numFmtId="164" fontId="12" fillId="2" borderId="0" xfId="0" applyNumberFormat="1" applyFont="1" applyFill="1"/>
    <xf numFmtId="0" fontId="0" fillId="2" borderId="0" xfId="0" applyFont="1" applyFill="1"/>
    <xf numFmtId="168" fontId="0" fillId="0" borderId="1" xfId="0" applyNumberFormat="1" applyFont="1" applyBorder="1"/>
    <xf numFmtId="1" fontId="0" fillId="0" borderId="0" xfId="0" applyNumberFormat="1" applyFont="1"/>
    <xf numFmtId="166" fontId="0" fillId="0" borderId="0" xfId="3" applyNumberFormat="1" applyFont="1"/>
    <xf numFmtId="0" fontId="4" fillId="0" borderId="0" xfId="0" applyFont="1" applyAlignment="1">
      <alignment horizontal="center"/>
    </xf>
    <xf numFmtId="1" fontId="0" fillId="0" borderId="0" xfId="1" applyNumberFormat="1" applyFont="1"/>
    <xf numFmtId="9" fontId="0" fillId="0" borderId="0" xfId="1" applyFont="1"/>
    <xf numFmtId="9" fontId="0" fillId="0" borderId="0" xfId="1" applyNumberFormat="1" applyFont="1"/>
    <xf numFmtId="9" fontId="0" fillId="0" borderId="0" xfId="1" applyFont="1" applyBorder="1"/>
    <xf numFmtId="0" fontId="16" fillId="0" borderId="0" xfId="4" applyFont="1" applyAlignment="1" applyProtection="1"/>
    <xf numFmtId="168" fontId="0" fillId="0" borderId="0" xfId="0" applyNumberFormat="1" applyFont="1" applyBorder="1"/>
    <xf numFmtId="169" fontId="0" fillId="0" borderId="0" xfId="0" applyNumberFormat="1" applyFont="1"/>
    <xf numFmtId="0" fontId="5" fillId="0" borderId="0" xfId="0" applyFont="1"/>
    <xf numFmtId="164" fontId="0" fillId="0" borderId="0" xfId="0" applyNumberFormat="1" applyFont="1" applyAlignment="1">
      <alignment horizontal="left"/>
    </xf>
    <xf numFmtId="164" fontId="4" fillId="0" borderId="0" xfId="0" applyNumberFormat="1" applyFont="1" applyAlignment="1">
      <alignment horizontal="left"/>
    </xf>
    <xf numFmtId="169" fontId="0" fillId="0" borderId="1" xfId="0" applyNumberFormat="1" applyFont="1" applyBorder="1"/>
    <xf numFmtId="164" fontId="0" fillId="0" borderId="1" xfId="0" applyNumberFormat="1" applyFont="1" applyBorder="1" applyAlignment="1">
      <alignment horizontal="left"/>
    </xf>
    <xf numFmtId="164" fontId="0" fillId="0" borderId="0" xfId="0" applyNumberFormat="1" applyFont="1" applyAlignment="1">
      <alignment horizontal="left" wrapText="1"/>
    </xf>
    <xf numFmtId="49" fontId="0" fillId="0" borderId="0" xfId="0" applyNumberFormat="1" applyFont="1" applyAlignment="1">
      <alignment horizontal="left" wrapText="1"/>
    </xf>
    <xf numFmtId="8" fontId="0" fillId="0" borderId="0" xfId="0" applyNumberFormat="1"/>
    <xf numFmtId="0" fontId="0" fillId="0" borderId="0" xfId="0" applyBorder="1"/>
    <xf numFmtId="0" fontId="8" fillId="0" borderId="0" xfId="4" applyAlignment="1" applyProtection="1"/>
    <xf numFmtId="1" fontId="0" fillId="0" borderId="0" xfId="0" applyNumberFormat="1"/>
    <xf numFmtId="10" fontId="0" fillId="0" borderId="0" xfId="0" applyNumberFormat="1"/>
    <xf numFmtId="167" fontId="0" fillId="0" borderId="0" xfId="0" applyNumberFormat="1"/>
    <xf numFmtId="1" fontId="0" fillId="2" borderId="0" xfId="1" applyNumberFormat="1" applyFont="1" applyFill="1"/>
    <xf numFmtId="0" fontId="6" fillId="0" borderId="0" xfId="0" applyFont="1"/>
    <xf numFmtId="0" fontId="6" fillId="0" borderId="0" xfId="0" applyFont="1" applyAlignment="1"/>
    <xf numFmtId="171" fontId="0" fillId="0" borderId="0" xfId="0" applyNumberFormat="1" applyFont="1"/>
    <xf numFmtId="8" fontId="0" fillId="0" borderId="0" xfId="0" applyNumberFormat="1" applyFont="1"/>
    <xf numFmtId="172" fontId="0" fillId="0" borderId="0" xfId="6" applyNumberFormat="1" applyFont="1"/>
    <xf numFmtId="172" fontId="0" fillId="0" borderId="0" xfId="0" applyNumberFormat="1"/>
    <xf numFmtId="164" fontId="0" fillId="0" borderId="3" xfId="0" applyNumberFormat="1" applyFont="1" applyBorder="1"/>
    <xf numFmtId="165" fontId="0" fillId="0" borderId="3" xfId="1" applyNumberFormat="1" applyFont="1" applyBorder="1"/>
    <xf numFmtId="168" fontId="0" fillId="0" borderId="3" xfId="0" applyNumberFormat="1" applyFont="1" applyBorder="1"/>
    <xf numFmtId="164" fontId="13" fillId="0" borderId="3" xfId="0" applyNumberFormat="1" applyFont="1" applyBorder="1"/>
    <xf numFmtId="0" fontId="0" fillId="0" borderId="3" xfId="0" applyFont="1" applyBorder="1"/>
    <xf numFmtId="0" fontId="0" fillId="0" borderId="3" xfId="0" applyBorder="1"/>
    <xf numFmtId="1" fontId="0" fillId="0" borderId="3" xfId="0" applyNumberFormat="1" applyFont="1" applyBorder="1"/>
    <xf numFmtId="0" fontId="0" fillId="0" borderId="3" xfId="0" applyBorder="1" applyAlignment="1">
      <alignment horizontal="right"/>
    </xf>
    <xf numFmtId="0" fontId="0" fillId="0" borderId="3" xfId="0" applyBorder="1" applyAlignment="1">
      <alignment horizontal="center"/>
    </xf>
    <xf numFmtId="0" fontId="4" fillId="0" borderId="3" xfId="0" applyFont="1" applyBorder="1"/>
    <xf numFmtId="0" fontId="4" fillId="0" borderId="3" xfId="0" applyFont="1" applyBorder="1" applyAlignment="1">
      <alignment horizontal="center"/>
    </xf>
    <xf numFmtId="6" fontId="0" fillId="0" borderId="3" xfId="0" applyNumberFormat="1" applyBorder="1"/>
    <xf numFmtId="0" fontId="0" fillId="0" borderId="3" xfId="0" quotePrefix="1" applyBorder="1"/>
    <xf numFmtId="164" fontId="0" fillId="0" borderId="3" xfId="0" applyNumberFormat="1" applyFont="1" applyBorder="1" applyAlignment="1">
      <alignment horizontal="right"/>
    </xf>
    <xf numFmtId="164" fontId="9" fillId="0" borderId="3" xfId="0" applyNumberFormat="1" applyFont="1" applyBorder="1" applyAlignment="1">
      <alignment wrapText="1"/>
    </xf>
    <xf numFmtId="164" fontId="0" fillId="0" borderId="3" xfId="0" applyNumberFormat="1" applyFont="1" applyBorder="1" applyAlignment="1">
      <alignment horizontal="right" wrapText="1"/>
    </xf>
    <xf numFmtId="164" fontId="0" fillId="0" borderId="3" xfId="0" applyNumberFormat="1" applyBorder="1" applyAlignment="1">
      <alignment horizontal="center"/>
    </xf>
    <xf numFmtId="164" fontId="9" fillId="0" borderId="3" xfId="0" applyNumberFormat="1" applyFont="1" applyBorder="1"/>
    <xf numFmtId="164" fontId="10" fillId="0" borderId="3" xfId="0" applyNumberFormat="1" applyFont="1" applyBorder="1" applyAlignment="1">
      <alignment horizontal="center"/>
    </xf>
    <xf numFmtId="164" fontId="4" fillId="0" borderId="3" xfId="0" applyNumberFormat="1" applyFont="1" applyBorder="1"/>
    <xf numFmtId="5" fontId="0" fillId="0" borderId="3" xfId="0" applyNumberFormat="1" applyFont="1" applyBorder="1"/>
    <xf numFmtId="6" fontId="0" fillId="0" borderId="3" xfId="0" applyNumberFormat="1" applyFont="1" applyBorder="1"/>
    <xf numFmtId="0" fontId="0" fillId="0" borderId="3" xfId="0" quotePrefix="1" applyFont="1" applyBorder="1"/>
    <xf numFmtId="0" fontId="0" fillId="0" borderId="3" xfId="0" applyNumberFormat="1" applyFont="1" applyBorder="1"/>
    <xf numFmtId="49" fontId="0" fillId="0" borderId="3" xfId="0" applyNumberFormat="1" applyFont="1" applyBorder="1" applyAlignment="1">
      <alignment horizontal="left"/>
    </xf>
    <xf numFmtId="164" fontId="4" fillId="0" borderId="3" xfId="0" quotePrefix="1" applyNumberFormat="1" applyFont="1" applyBorder="1"/>
    <xf numFmtId="6" fontId="0" fillId="0" borderId="3" xfId="0" applyNumberFormat="1" applyFont="1" applyFill="1" applyBorder="1"/>
    <xf numFmtId="164" fontId="0" fillId="0" borderId="3" xfId="0" applyNumberFormat="1" applyBorder="1"/>
    <xf numFmtId="164" fontId="0" fillId="0" borderId="3" xfId="0" quotePrefix="1" applyNumberFormat="1" applyFont="1" applyBorder="1"/>
    <xf numFmtId="5" fontId="10" fillId="0" borderId="3" xfId="0" applyNumberFormat="1" applyFont="1" applyBorder="1"/>
    <xf numFmtId="5" fontId="10" fillId="0" borderId="3" xfId="0" applyNumberFormat="1" applyFont="1" applyBorder="1" applyAlignment="1">
      <alignment wrapText="1"/>
    </xf>
    <xf numFmtId="49" fontId="0" fillId="0" borderId="3" xfId="0" applyNumberFormat="1" applyFont="1" applyBorder="1"/>
    <xf numFmtId="0" fontId="0" fillId="0" borderId="4" xfId="0" applyFill="1" applyBorder="1"/>
    <xf numFmtId="176" fontId="0" fillId="0" borderId="0" xfId="0" applyNumberFormat="1"/>
    <xf numFmtId="165" fontId="0" fillId="0" borderId="0" xfId="0" applyNumberFormat="1"/>
    <xf numFmtId="2" fontId="0" fillId="0" borderId="0" xfId="0" applyNumberFormat="1"/>
    <xf numFmtId="164" fontId="20" fillId="0" borderId="0" xfId="0" applyNumberFormat="1" applyFont="1" applyFill="1" applyAlignment="1">
      <alignment horizontal="right" vertical="center"/>
    </xf>
    <xf numFmtId="0" fontId="2" fillId="0" borderId="0" xfId="0" applyFont="1"/>
    <xf numFmtId="0" fontId="21" fillId="0" borderId="0" xfId="4" applyFont="1" applyAlignment="1" applyProtection="1">
      <alignment vertical="center"/>
    </xf>
    <xf numFmtId="0" fontId="21" fillId="0" borderId="0" xfId="4" applyFont="1" applyAlignment="1" applyProtection="1"/>
    <xf numFmtId="177" fontId="22" fillId="0" borderId="0" xfId="1" applyNumberFormat="1" applyFont="1" applyFill="1" applyAlignment="1">
      <alignment horizontal="right" vertical="center"/>
    </xf>
    <xf numFmtId="0" fontId="2" fillId="0" borderId="0" xfId="0" applyFont="1" applyAlignment="1">
      <alignment vertical="center"/>
    </xf>
    <xf numFmtId="164" fontId="22" fillId="0" borderId="0" xfId="0" applyNumberFormat="1" applyFont="1" applyFill="1" applyAlignment="1">
      <alignment horizontal="right" vertical="center"/>
    </xf>
    <xf numFmtId="1" fontId="20" fillId="0" borderId="0" xfId="0" applyNumberFormat="1" applyFont="1" applyFill="1" applyAlignment="1">
      <alignment horizontal="center" vertical="center"/>
    </xf>
    <xf numFmtId="0" fontId="20" fillId="0" borderId="0" xfId="0" applyFont="1" applyFill="1" applyAlignment="1">
      <alignment horizontal="center" vertical="top" wrapText="1"/>
    </xf>
    <xf numFmtId="4" fontId="0" fillId="0" borderId="0" xfId="0" applyNumberFormat="1"/>
    <xf numFmtId="0" fontId="0" fillId="0" borderId="0" xfId="6" applyNumberFormat="1" applyFont="1"/>
    <xf numFmtId="1" fontId="2" fillId="0" borderId="0" xfId="6" applyNumberFormat="1" applyFont="1"/>
    <xf numFmtId="1" fontId="0" fillId="0" borderId="0" xfId="6" applyNumberFormat="1" applyFont="1"/>
    <xf numFmtId="0" fontId="4" fillId="0" borderId="0" xfId="0" applyFont="1" applyAlignment="1">
      <alignment horizontal="right"/>
    </xf>
    <xf numFmtId="6" fontId="0" fillId="0" borderId="0" xfId="0" applyNumberFormat="1" applyAlignment="1">
      <alignment horizontal="right" wrapText="1"/>
    </xf>
    <xf numFmtId="44" fontId="0" fillId="0" borderId="0" xfId="3" applyFont="1"/>
    <xf numFmtId="178" fontId="0" fillId="0" borderId="0" xfId="0" applyNumberFormat="1"/>
    <xf numFmtId="171" fontId="0" fillId="0" borderId="0" xfId="0" applyNumberFormat="1"/>
    <xf numFmtId="0" fontId="0" fillId="0" borderId="0" xfId="0" applyAlignment="1">
      <alignment wrapText="1"/>
    </xf>
    <xf numFmtId="6" fontId="23" fillId="4" borderId="5" xfId="0" applyNumberFormat="1" applyFont="1" applyFill="1" applyBorder="1" applyAlignment="1">
      <alignment horizontal="right" wrapText="1"/>
    </xf>
    <xf numFmtId="6" fontId="23" fillId="3" borderId="6" xfId="0" applyNumberFormat="1" applyFont="1" applyFill="1" applyBorder="1" applyAlignment="1">
      <alignment horizontal="right" wrapText="1"/>
    </xf>
    <xf numFmtId="6" fontId="23" fillId="4" borderId="6" xfId="0" applyNumberFormat="1" applyFont="1" applyFill="1" applyBorder="1" applyAlignment="1">
      <alignment horizontal="right" wrapText="1"/>
    </xf>
    <xf numFmtId="6" fontId="23" fillId="3" borderId="7" xfId="0" applyNumberFormat="1" applyFont="1" applyFill="1" applyBorder="1" applyAlignment="1">
      <alignment horizontal="right" wrapText="1"/>
    </xf>
    <xf numFmtId="6" fontId="23" fillId="4" borderId="8" xfId="0" applyNumberFormat="1" applyFont="1" applyFill="1" applyBorder="1" applyAlignment="1">
      <alignment horizontal="right" wrapText="1"/>
    </xf>
    <xf numFmtId="6" fontId="23" fillId="3" borderId="8" xfId="0" applyNumberFormat="1" applyFont="1" applyFill="1" applyBorder="1" applyAlignment="1">
      <alignment horizontal="right" wrapText="1"/>
    </xf>
    <xf numFmtId="6" fontId="23" fillId="3" borderId="0" xfId="0" applyNumberFormat="1" applyFont="1" applyFill="1" applyBorder="1" applyAlignment="1">
      <alignment horizontal="right" wrapText="1"/>
    </xf>
    <xf numFmtId="164" fontId="4" fillId="2" borderId="0" xfId="0" applyNumberFormat="1" applyFont="1" applyFill="1"/>
    <xf numFmtId="0" fontId="24" fillId="0" borderId="0" xfId="0" applyFont="1"/>
    <xf numFmtId="0" fontId="4" fillId="0" borderId="0" xfId="0" applyFont="1" applyBorder="1"/>
    <xf numFmtId="0" fontId="0" fillId="0" borderId="0" xfId="0" applyFont="1" applyBorder="1"/>
    <xf numFmtId="177" fontId="8" fillId="0" borderId="0" xfId="4" applyNumberFormat="1" applyFill="1" applyAlignment="1" applyProtection="1">
      <alignment horizontal="right" vertical="center"/>
    </xf>
    <xf numFmtId="0" fontId="25" fillId="0" borderId="0" xfId="0" applyFont="1"/>
    <xf numFmtId="1" fontId="6" fillId="0" borderId="0" xfId="0" applyNumberFormat="1" applyFont="1" applyAlignment="1"/>
    <xf numFmtId="0" fontId="26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</cellXfs>
  <cellStyles count="7">
    <cellStyle name="Comma" xfId="6" builtinId="3"/>
    <cellStyle name="Currency" xfId="3" builtinId="4"/>
    <cellStyle name="Hyperlink" xfId="4" builtinId="8"/>
    <cellStyle name="Normal" xfId="0" builtinId="0"/>
    <cellStyle name="Normal 2" xfId="2"/>
    <cellStyle name="Normal 3" xfId="5"/>
    <cellStyle name="Percent" xfId="1" builtinId="5"/>
  </cellStyles>
  <dxfs count="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County Revenue in 2014$</a:t>
            </a:r>
          </a:p>
        </c:rich>
      </c:tx>
      <c:layout/>
    </c:title>
    <c:plotArea>
      <c:layout/>
      <c:scatterChart>
        <c:scatterStyle val="lineMarker"/>
        <c:ser>
          <c:idx val="0"/>
          <c:order val="0"/>
          <c:tx>
            <c:strRef>
              <c:f>'Rev and Major Expenditures'!$A$6</c:f>
              <c:strCache>
                <c:ptCount val="1"/>
                <c:pt idx="0">
                  <c:v>Real Property Taxes</c:v>
                </c:pt>
              </c:strCache>
            </c:strRef>
          </c:tx>
          <c:xVal>
            <c:numRef>
              <c:f>'Rev and Major Expenditures'!$D$4:$Y$4</c:f>
              <c:numCache>
                <c:formatCode>General</c:formatCode>
                <c:ptCount val="22"/>
                <c:pt idx="0">
                  <c:v>2017</c:v>
                </c:pt>
                <c:pt idx="1">
                  <c:v>2016</c:v>
                </c:pt>
                <c:pt idx="2">
                  <c:v>2016</c:v>
                </c:pt>
                <c:pt idx="3">
                  <c:v>2015</c:v>
                </c:pt>
                <c:pt idx="4">
                  <c:v>2015</c:v>
                </c:pt>
                <c:pt idx="5">
                  <c:v>2015</c:v>
                </c:pt>
                <c:pt idx="6">
                  <c:v>2014</c:v>
                </c:pt>
                <c:pt idx="7">
                  <c:v>2014</c:v>
                </c:pt>
                <c:pt idx="8">
                  <c:v>2013</c:v>
                </c:pt>
                <c:pt idx="9">
                  <c:v>2012</c:v>
                </c:pt>
                <c:pt idx="10">
                  <c:v>2011</c:v>
                </c:pt>
                <c:pt idx="11">
                  <c:v>2010</c:v>
                </c:pt>
                <c:pt idx="12">
                  <c:v>2009</c:v>
                </c:pt>
                <c:pt idx="13">
                  <c:v>2008</c:v>
                </c:pt>
                <c:pt idx="14">
                  <c:v>2007</c:v>
                </c:pt>
                <c:pt idx="15">
                  <c:v>2006</c:v>
                </c:pt>
                <c:pt idx="16">
                  <c:v>2005</c:v>
                </c:pt>
                <c:pt idx="17">
                  <c:v>2004</c:v>
                </c:pt>
                <c:pt idx="18">
                  <c:v>2003</c:v>
                </c:pt>
                <c:pt idx="19">
                  <c:v>2002</c:v>
                </c:pt>
                <c:pt idx="20">
                  <c:v>2001</c:v>
                </c:pt>
                <c:pt idx="21">
                  <c:v>2000</c:v>
                </c:pt>
              </c:numCache>
            </c:numRef>
          </c:xVal>
          <c:yVal>
            <c:numRef>
              <c:f>'Rev and Major Expenditures'!$D$6:$Y$6</c:f>
              <c:numCache>
                <c:formatCode>"$"#,##0.00;"$"\-#,##0.00</c:formatCode>
                <c:ptCount val="22"/>
                <c:pt idx="0">
                  <c:v>2491.7153037041512</c:v>
                </c:pt>
                <c:pt idx="1">
                  <c:v>2355.8319881328466</c:v>
                </c:pt>
                <c:pt idx="2">
                  <c:v>2355.8319881328466</c:v>
                </c:pt>
                <c:pt idx="3">
                  <c:v>2318.856399409739</c:v>
                </c:pt>
                <c:pt idx="4">
                  <c:v>2315.4319468765375</c:v>
                </c:pt>
                <c:pt idx="5">
                  <c:v>2315.4319468765375</c:v>
                </c:pt>
                <c:pt idx="6">
                  <c:v>2216.1593090000001</c:v>
                </c:pt>
                <c:pt idx="7">
                  <c:v>2216.599964</c:v>
                </c:pt>
                <c:pt idx="8">
                  <c:v>2157.8530913912259</c:v>
                </c:pt>
                <c:pt idx="9">
                  <c:v>2110.9711004187384</c:v>
                </c:pt>
                <c:pt idx="10">
                  <c:v>2125.7678387781771</c:v>
                </c:pt>
                <c:pt idx="11">
                  <c:v>2297.2396141806785</c:v>
                </c:pt>
                <c:pt idx="12">
                  <c:v>2259.747351042754</c:v>
                </c:pt>
                <c:pt idx="13">
                  <c:v>2171.7344143283794</c:v>
                </c:pt>
                <c:pt idx="14">
                  <c:v>2164.801091397695</c:v>
                </c:pt>
                <c:pt idx="15">
                  <c:v>2094.7446791906632</c:v>
                </c:pt>
                <c:pt idx="16">
                  <c:v>1985.4130384534392</c:v>
                </c:pt>
                <c:pt idx="17">
                  <c:v>1880.7688572869149</c:v>
                </c:pt>
                <c:pt idx="18">
                  <c:v>1796.7935771048101</c:v>
                </c:pt>
                <c:pt idx="19">
                  <c:v>1622.812440722508</c:v>
                </c:pt>
                <c:pt idx="20">
                  <c:v>1451.6906697100746</c:v>
                </c:pt>
                <c:pt idx="21">
                  <c:v>1375.8781779851647</c:v>
                </c:pt>
              </c:numCache>
            </c:numRef>
          </c:yVal>
        </c:ser>
        <c:ser>
          <c:idx val="2"/>
          <c:order val="1"/>
          <c:tx>
            <c:strRef>
              <c:f>'Rev and Major Expenditures'!$A$8</c:f>
              <c:strCache>
                <c:ptCount val="1"/>
                <c:pt idx="0">
                  <c:v>General Other Local Taxes</c:v>
                </c:pt>
              </c:strCache>
            </c:strRef>
          </c:tx>
          <c:xVal>
            <c:numRef>
              <c:f>'Rev and Major Expenditures'!$D$4:$Y$4</c:f>
              <c:numCache>
                <c:formatCode>General</c:formatCode>
                <c:ptCount val="22"/>
                <c:pt idx="0">
                  <c:v>2017</c:v>
                </c:pt>
                <c:pt idx="1">
                  <c:v>2016</c:v>
                </c:pt>
                <c:pt idx="2">
                  <c:v>2016</c:v>
                </c:pt>
                <c:pt idx="3">
                  <c:v>2015</c:v>
                </c:pt>
                <c:pt idx="4">
                  <c:v>2015</c:v>
                </c:pt>
                <c:pt idx="5">
                  <c:v>2015</c:v>
                </c:pt>
                <c:pt idx="6">
                  <c:v>2014</c:v>
                </c:pt>
                <c:pt idx="7">
                  <c:v>2014</c:v>
                </c:pt>
                <c:pt idx="8">
                  <c:v>2013</c:v>
                </c:pt>
                <c:pt idx="9">
                  <c:v>2012</c:v>
                </c:pt>
                <c:pt idx="10">
                  <c:v>2011</c:v>
                </c:pt>
                <c:pt idx="11">
                  <c:v>2010</c:v>
                </c:pt>
                <c:pt idx="12">
                  <c:v>2009</c:v>
                </c:pt>
                <c:pt idx="13">
                  <c:v>2008</c:v>
                </c:pt>
                <c:pt idx="14">
                  <c:v>2007</c:v>
                </c:pt>
                <c:pt idx="15">
                  <c:v>2006</c:v>
                </c:pt>
                <c:pt idx="16">
                  <c:v>2005</c:v>
                </c:pt>
                <c:pt idx="17">
                  <c:v>2004</c:v>
                </c:pt>
                <c:pt idx="18">
                  <c:v>2003</c:v>
                </c:pt>
                <c:pt idx="19">
                  <c:v>2002</c:v>
                </c:pt>
                <c:pt idx="20">
                  <c:v>2001</c:v>
                </c:pt>
                <c:pt idx="21">
                  <c:v>2000</c:v>
                </c:pt>
              </c:numCache>
            </c:numRef>
          </c:xVal>
          <c:yVal>
            <c:numRef>
              <c:f>'Rev and Major Expenditures'!$D$8:$Y$8</c:f>
              <c:numCache>
                <c:formatCode>"$"#,##0.00;"$"\-#,##0.00</c:formatCode>
                <c:ptCount val="22"/>
                <c:pt idx="0">
                  <c:v>489.62660054784288</c:v>
                </c:pt>
                <c:pt idx="1">
                  <c:v>479.19348651819496</c:v>
                </c:pt>
                <c:pt idx="2">
                  <c:v>479.19348651819496</c:v>
                </c:pt>
                <c:pt idx="3">
                  <c:v>498.34459222823415</c:v>
                </c:pt>
                <c:pt idx="4">
                  <c:v>480.42886866699456</c:v>
                </c:pt>
                <c:pt idx="5">
                  <c:v>489.00666404328581</c:v>
                </c:pt>
                <c:pt idx="6">
                  <c:v>514.82217800000001</c:v>
                </c:pt>
                <c:pt idx="7">
                  <c:v>521.96997699999997</c:v>
                </c:pt>
                <c:pt idx="8">
                  <c:v>539.57377583684979</c:v>
                </c:pt>
                <c:pt idx="9">
                  <c:v>533.47036015659523</c:v>
                </c:pt>
                <c:pt idx="10">
                  <c:v>532.02922179878863</c:v>
                </c:pt>
                <c:pt idx="11">
                  <c:v>499.56745278589983</c:v>
                </c:pt>
                <c:pt idx="12">
                  <c:v>508.05822192881499</c:v>
                </c:pt>
                <c:pt idx="13">
                  <c:v>521.21918780129795</c:v>
                </c:pt>
                <c:pt idx="14">
                  <c:v>548.56402648750225</c:v>
                </c:pt>
                <c:pt idx="15">
                  <c:v>584.91852711067054</c:v>
                </c:pt>
                <c:pt idx="16">
                  <c:v>561.44339468115982</c:v>
                </c:pt>
                <c:pt idx="17">
                  <c:v>511.61065134716694</c:v>
                </c:pt>
                <c:pt idx="18">
                  <c:v>480.6700147133306</c:v>
                </c:pt>
                <c:pt idx="19">
                  <c:v>474.08112558601454</c:v>
                </c:pt>
                <c:pt idx="20">
                  <c:v>481.71367136748358</c:v>
                </c:pt>
                <c:pt idx="21">
                  <c:v>471.81817717504839</c:v>
                </c:pt>
              </c:numCache>
            </c:numRef>
          </c:yVal>
        </c:ser>
        <c:ser>
          <c:idx val="1"/>
          <c:order val="2"/>
          <c:tx>
            <c:strRef>
              <c:f>'Rev and Major Expenditures'!$A$7</c:f>
              <c:strCache>
                <c:ptCount val="1"/>
                <c:pt idx="0">
                  <c:v>Personal Property Taxes</c:v>
                </c:pt>
              </c:strCache>
            </c:strRef>
          </c:tx>
          <c:xVal>
            <c:numRef>
              <c:f>'Rev and Major Expenditures'!$D$4:$Y$4</c:f>
              <c:numCache>
                <c:formatCode>General</c:formatCode>
                <c:ptCount val="22"/>
                <c:pt idx="0">
                  <c:v>2017</c:v>
                </c:pt>
                <c:pt idx="1">
                  <c:v>2016</c:v>
                </c:pt>
                <c:pt idx="2">
                  <c:v>2016</c:v>
                </c:pt>
                <c:pt idx="3">
                  <c:v>2015</c:v>
                </c:pt>
                <c:pt idx="4">
                  <c:v>2015</c:v>
                </c:pt>
                <c:pt idx="5">
                  <c:v>2015</c:v>
                </c:pt>
                <c:pt idx="6">
                  <c:v>2014</c:v>
                </c:pt>
                <c:pt idx="7">
                  <c:v>2014</c:v>
                </c:pt>
                <c:pt idx="8">
                  <c:v>2013</c:v>
                </c:pt>
                <c:pt idx="9">
                  <c:v>2012</c:v>
                </c:pt>
                <c:pt idx="10">
                  <c:v>2011</c:v>
                </c:pt>
                <c:pt idx="11">
                  <c:v>2010</c:v>
                </c:pt>
                <c:pt idx="12">
                  <c:v>2009</c:v>
                </c:pt>
                <c:pt idx="13">
                  <c:v>2008</c:v>
                </c:pt>
                <c:pt idx="14">
                  <c:v>2007</c:v>
                </c:pt>
                <c:pt idx="15">
                  <c:v>2006</c:v>
                </c:pt>
                <c:pt idx="16">
                  <c:v>2005</c:v>
                </c:pt>
                <c:pt idx="17">
                  <c:v>2004</c:v>
                </c:pt>
                <c:pt idx="18">
                  <c:v>2003</c:v>
                </c:pt>
                <c:pt idx="19">
                  <c:v>2002</c:v>
                </c:pt>
                <c:pt idx="20">
                  <c:v>2001</c:v>
                </c:pt>
                <c:pt idx="21">
                  <c:v>2000</c:v>
                </c:pt>
              </c:numCache>
            </c:numRef>
          </c:xVal>
          <c:yVal>
            <c:numRef>
              <c:f>'Rev and Major Expenditures'!$D$7:$Y$7</c:f>
              <c:numCache>
                <c:formatCode>"$"#,##0.00;"$"\-#,##0.00</c:formatCode>
                <c:ptCount val="22"/>
                <c:pt idx="0">
                  <c:v>367.25982637074873</c:v>
                </c:pt>
                <c:pt idx="1">
                  <c:v>357.49476771489799</c:v>
                </c:pt>
                <c:pt idx="2">
                  <c:v>357.49476771489799</c:v>
                </c:pt>
                <c:pt idx="3">
                  <c:v>364.28157501229703</c:v>
                </c:pt>
                <c:pt idx="4">
                  <c:v>356.74037481554353</c:v>
                </c:pt>
                <c:pt idx="5">
                  <c:v>357.10033939990154</c:v>
                </c:pt>
                <c:pt idx="6">
                  <c:v>360.13162999999997</c:v>
                </c:pt>
                <c:pt idx="7">
                  <c:v>354.30829199999999</c:v>
                </c:pt>
                <c:pt idx="8">
                  <c:v>359.3699881292556</c:v>
                </c:pt>
                <c:pt idx="9">
                  <c:v>326.77699222322383</c:v>
                </c:pt>
                <c:pt idx="10">
                  <c:v>317.80948925757855</c:v>
                </c:pt>
                <c:pt idx="11">
                  <c:v>321.54370651451461</c:v>
                </c:pt>
                <c:pt idx="12">
                  <c:v>349.154243419404</c:v>
                </c:pt>
                <c:pt idx="13">
                  <c:v>338.51420852794433</c:v>
                </c:pt>
                <c:pt idx="14">
                  <c:v>353.95468515213997</c:v>
                </c:pt>
                <c:pt idx="15">
                  <c:v>340.20667084325572</c:v>
                </c:pt>
                <c:pt idx="16">
                  <c:v>339.28105068985064</c:v>
                </c:pt>
                <c:pt idx="17">
                  <c:v>344.27535122250049</c:v>
                </c:pt>
                <c:pt idx="18">
                  <c:v>348.74987688327263</c:v>
                </c:pt>
                <c:pt idx="19">
                  <c:v>372.26400063847143</c:v>
                </c:pt>
                <c:pt idx="20">
                  <c:v>424.39756093352634</c:v>
                </c:pt>
                <c:pt idx="21">
                  <c:v>461.82122266383578</c:v>
                </c:pt>
              </c:numCache>
            </c:numRef>
          </c:yVal>
        </c:ser>
        <c:ser>
          <c:idx val="7"/>
          <c:order val="3"/>
          <c:tx>
            <c:strRef>
              <c:f>'Rev and Major Expenditures'!$A$13</c:f>
              <c:strCache>
                <c:ptCount val="1"/>
                <c:pt idx="0">
                  <c:v>Revenue from the Commonwealth1</c:v>
                </c:pt>
              </c:strCache>
            </c:strRef>
          </c:tx>
          <c:xVal>
            <c:numRef>
              <c:f>'Rev and Major Expenditures'!$D$4:$Y$4</c:f>
              <c:numCache>
                <c:formatCode>General</c:formatCode>
                <c:ptCount val="22"/>
                <c:pt idx="0">
                  <c:v>2017</c:v>
                </c:pt>
                <c:pt idx="1">
                  <c:v>2016</c:v>
                </c:pt>
                <c:pt idx="2">
                  <c:v>2016</c:v>
                </c:pt>
                <c:pt idx="3">
                  <c:v>2015</c:v>
                </c:pt>
                <c:pt idx="4">
                  <c:v>2015</c:v>
                </c:pt>
                <c:pt idx="5">
                  <c:v>2015</c:v>
                </c:pt>
                <c:pt idx="6">
                  <c:v>2014</c:v>
                </c:pt>
                <c:pt idx="7">
                  <c:v>2014</c:v>
                </c:pt>
                <c:pt idx="8">
                  <c:v>2013</c:v>
                </c:pt>
                <c:pt idx="9">
                  <c:v>2012</c:v>
                </c:pt>
                <c:pt idx="10">
                  <c:v>2011</c:v>
                </c:pt>
                <c:pt idx="11">
                  <c:v>2010</c:v>
                </c:pt>
                <c:pt idx="12">
                  <c:v>2009</c:v>
                </c:pt>
                <c:pt idx="13">
                  <c:v>2008</c:v>
                </c:pt>
                <c:pt idx="14">
                  <c:v>2007</c:v>
                </c:pt>
                <c:pt idx="15">
                  <c:v>2006</c:v>
                </c:pt>
                <c:pt idx="16">
                  <c:v>2005</c:v>
                </c:pt>
                <c:pt idx="17">
                  <c:v>2004</c:v>
                </c:pt>
                <c:pt idx="18">
                  <c:v>2003</c:v>
                </c:pt>
                <c:pt idx="19">
                  <c:v>2002</c:v>
                </c:pt>
                <c:pt idx="20">
                  <c:v>2001</c:v>
                </c:pt>
                <c:pt idx="21">
                  <c:v>2000</c:v>
                </c:pt>
              </c:numCache>
            </c:numRef>
          </c:xVal>
          <c:yVal>
            <c:numRef>
              <c:f>'Rev and Major Expenditures'!$D$13:$Y$13</c:f>
              <c:numCache>
                <c:formatCode>"$"#,##0.00;"$"\-#,##0.00</c:formatCode>
                <c:ptCount val="22"/>
                <c:pt idx="0">
                  <c:v>295.75397409291281</c:v>
                </c:pt>
                <c:pt idx="1">
                  <c:v>299.63055235442545</c:v>
                </c:pt>
                <c:pt idx="2">
                  <c:v>296.98592602288511</c:v>
                </c:pt>
                <c:pt idx="3">
                  <c:v>295.83641908509594</c:v>
                </c:pt>
                <c:pt idx="4">
                  <c:v>301.61687358583373</c:v>
                </c:pt>
                <c:pt idx="5">
                  <c:v>301.80596950319722</c:v>
                </c:pt>
                <c:pt idx="6">
                  <c:v>303.66506800000002</c:v>
                </c:pt>
                <c:pt idx="7">
                  <c:v>307.46370300000001</c:v>
                </c:pt>
                <c:pt idx="8">
                  <c:v>306.0108538651719</c:v>
                </c:pt>
                <c:pt idx="9">
                  <c:v>314.171599801485</c:v>
                </c:pt>
                <c:pt idx="10">
                  <c:v>325.23425714106264</c:v>
                </c:pt>
                <c:pt idx="11">
                  <c:v>321.02550145071223</c:v>
                </c:pt>
                <c:pt idx="12">
                  <c:v>349.94020325539418</c:v>
                </c:pt>
                <c:pt idx="13">
                  <c:v>343.53576567277827</c:v>
                </c:pt>
                <c:pt idx="14">
                  <c:v>346.27897547952415</c:v>
                </c:pt>
                <c:pt idx="15">
                  <c:v>349.63115407826729</c:v>
                </c:pt>
                <c:pt idx="16">
                  <c:v>336.91421389138765</c:v>
                </c:pt>
                <c:pt idx="17">
                  <c:v>354.3169512309679</c:v>
                </c:pt>
                <c:pt idx="18">
                  <c:v>353.96087993208977</c:v>
                </c:pt>
                <c:pt idx="19">
                  <c:v>365.80044927026779</c:v>
                </c:pt>
                <c:pt idx="20">
                  <c:v>270.67441889708363</c:v>
                </c:pt>
                <c:pt idx="21">
                  <c:v>201.75030061993809</c:v>
                </c:pt>
              </c:numCache>
            </c:numRef>
          </c:yVal>
        </c:ser>
        <c:ser>
          <c:idx val="6"/>
          <c:order val="4"/>
          <c:tx>
            <c:strRef>
              <c:f>'Rev and Major Expenditures'!$A$12</c:f>
              <c:strCache>
                <c:ptCount val="1"/>
                <c:pt idx="0">
                  <c:v>Charges for Services</c:v>
                </c:pt>
              </c:strCache>
            </c:strRef>
          </c:tx>
          <c:xVal>
            <c:numRef>
              <c:f>'Rev and Major Expenditures'!$D$4:$Y$4</c:f>
              <c:numCache>
                <c:formatCode>General</c:formatCode>
                <c:ptCount val="22"/>
                <c:pt idx="0">
                  <c:v>2017</c:v>
                </c:pt>
                <c:pt idx="1">
                  <c:v>2016</c:v>
                </c:pt>
                <c:pt idx="2">
                  <c:v>2016</c:v>
                </c:pt>
                <c:pt idx="3">
                  <c:v>2015</c:v>
                </c:pt>
                <c:pt idx="4">
                  <c:v>2015</c:v>
                </c:pt>
                <c:pt idx="5">
                  <c:v>2015</c:v>
                </c:pt>
                <c:pt idx="6">
                  <c:v>2014</c:v>
                </c:pt>
                <c:pt idx="7">
                  <c:v>2014</c:v>
                </c:pt>
                <c:pt idx="8">
                  <c:v>2013</c:v>
                </c:pt>
                <c:pt idx="9">
                  <c:v>2012</c:v>
                </c:pt>
                <c:pt idx="10">
                  <c:v>2011</c:v>
                </c:pt>
                <c:pt idx="11">
                  <c:v>2010</c:v>
                </c:pt>
                <c:pt idx="12">
                  <c:v>2009</c:v>
                </c:pt>
                <c:pt idx="13">
                  <c:v>2008</c:v>
                </c:pt>
                <c:pt idx="14">
                  <c:v>2007</c:v>
                </c:pt>
                <c:pt idx="15">
                  <c:v>2006</c:v>
                </c:pt>
                <c:pt idx="16">
                  <c:v>2005</c:v>
                </c:pt>
                <c:pt idx="17">
                  <c:v>2004</c:v>
                </c:pt>
                <c:pt idx="18">
                  <c:v>2003</c:v>
                </c:pt>
                <c:pt idx="19">
                  <c:v>2002</c:v>
                </c:pt>
                <c:pt idx="20">
                  <c:v>2001</c:v>
                </c:pt>
                <c:pt idx="21">
                  <c:v>2000</c:v>
                </c:pt>
              </c:numCache>
            </c:numRef>
          </c:xVal>
          <c:yVal>
            <c:numRef>
              <c:f>'Rev and Major Expenditures'!$D$12:$Y$12</c:f>
              <c:numCache>
                <c:formatCode>"$"#,##0.00;"$"\-#,##0.00</c:formatCode>
                <c:ptCount val="22"/>
                <c:pt idx="0">
                  <c:v>72.85439414672777</c:v>
                </c:pt>
                <c:pt idx="1">
                  <c:v>72.213480038779707</c:v>
                </c:pt>
                <c:pt idx="2">
                  <c:v>72.148826216904595</c:v>
                </c:pt>
                <c:pt idx="3">
                  <c:v>71.727940973930146</c:v>
                </c:pt>
                <c:pt idx="4">
                  <c:v>72.230672897196257</c:v>
                </c:pt>
                <c:pt idx="5">
                  <c:v>76.123436301032967</c:v>
                </c:pt>
                <c:pt idx="6">
                  <c:v>71.318911</c:v>
                </c:pt>
                <c:pt idx="7">
                  <c:v>74.509000999999998</c:v>
                </c:pt>
                <c:pt idx="8">
                  <c:v>73.853008510824424</c:v>
                </c:pt>
                <c:pt idx="9">
                  <c:v>71.793653211246522</c:v>
                </c:pt>
                <c:pt idx="10">
                  <c:v>67.458355316568571</c:v>
                </c:pt>
                <c:pt idx="11">
                  <c:v>68.376162340827605</c:v>
                </c:pt>
                <c:pt idx="12">
                  <c:v>68.263238963655851</c:v>
                </c:pt>
                <c:pt idx="13">
                  <c:v>63.735380043222811</c:v>
                </c:pt>
                <c:pt idx="14">
                  <c:v>66.323643974788041</c:v>
                </c:pt>
                <c:pt idx="15">
                  <c:v>67.566094299216289</c:v>
                </c:pt>
                <c:pt idx="16">
                  <c:v>57.623585466140987</c:v>
                </c:pt>
                <c:pt idx="17">
                  <c:v>53.299780645180881</c:v>
                </c:pt>
                <c:pt idx="18">
                  <c:v>52.17092314738769</c:v>
                </c:pt>
                <c:pt idx="19">
                  <c:v>46.375955768068373</c:v>
                </c:pt>
                <c:pt idx="20">
                  <c:v>43.780731467057223</c:v>
                </c:pt>
                <c:pt idx="21">
                  <c:v>40.655650496062727</c:v>
                </c:pt>
              </c:numCache>
            </c:numRef>
          </c:yVal>
        </c:ser>
        <c:ser>
          <c:idx val="8"/>
          <c:order val="5"/>
          <c:tx>
            <c:strRef>
              <c:f>'Rev and Major Expenditures'!$A$14</c:f>
              <c:strCache>
                <c:ptCount val="1"/>
                <c:pt idx="0">
                  <c:v>Revenue from the Federal Government</c:v>
                </c:pt>
              </c:strCache>
            </c:strRef>
          </c:tx>
          <c:xVal>
            <c:numRef>
              <c:f>'Rev and Major Expenditures'!$D$4:$Y$4</c:f>
              <c:numCache>
                <c:formatCode>General</c:formatCode>
                <c:ptCount val="22"/>
                <c:pt idx="0">
                  <c:v>2017</c:v>
                </c:pt>
                <c:pt idx="1">
                  <c:v>2016</c:v>
                </c:pt>
                <c:pt idx="2">
                  <c:v>2016</c:v>
                </c:pt>
                <c:pt idx="3">
                  <c:v>2015</c:v>
                </c:pt>
                <c:pt idx="4">
                  <c:v>2015</c:v>
                </c:pt>
                <c:pt idx="5">
                  <c:v>2015</c:v>
                </c:pt>
                <c:pt idx="6">
                  <c:v>2014</c:v>
                </c:pt>
                <c:pt idx="7">
                  <c:v>2014</c:v>
                </c:pt>
                <c:pt idx="8">
                  <c:v>2013</c:v>
                </c:pt>
                <c:pt idx="9">
                  <c:v>2012</c:v>
                </c:pt>
                <c:pt idx="10">
                  <c:v>2011</c:v>
                </c:pt>
                <c:pt idx="11">
                  <c:v>2010</c:v>
                </c:pt>
                <c:pt idx="12">
                  <c:v>2009</c:v>
                </c:pt>
                <c:pt idx="13">
                  <c:v>2008</c:v>
                </c:pt>
                <c:pt idx="14">
                  <c:v>2007</c:v>
                </c:pt>
                <c:pt idx="15">
                  <c:v>2006</c:v>
                </c:pt>
                <c:pt idx="16">
                  <c:v>2005</c:v>
                </c:pt>
                <c:pt idx="17">
                  <c:v>2004</c:v>
                </c:pt>
                <c:pt idx="18">
                  <c:v>2003</c:v>
                </c:pt>
                <c:pt idx="19">
                  <c:v>2002</c:v>
                </c:pt>
                <c:pt idx="20">
                  <c:v>2001</c:v>
                </c:pt>
                <c:pt idx="21">
                  <c:v>2000</c:v>
                </c:pt>
              </c:numCache>
            </c:numRef>
          </c:xVal>
          <c:yVal>
            <c:numRef>
              <c:f>'Rev and Major Expenditures'!$D$14:$Y$14</c:f>
              <c:numCache>
                <c:formatCode>"$"#,##0.00;"$"\-#,##0.00</c:formatCode>
                <c:ptCount val="22"/>
                <c:pt idx="0">
                  <c:v>28.726867722930475</c:v>
                </c:pt>
                <c:pt idx="1">
                  <c:v>28.346748884430024</c:v>
                </c:pt>
                <c:pt idx="2">
                  <c:v>28.029363026056298</c:v>
                </c:pt>
                <c:pt idx="3">
                  <c:v>35.76111854402361</c:v>
                </c:pt>
                <c:pt idx="4">
                  <c:v>28.126216428922778</c:v>
                </c:pt>
                <c:pt idx="5">
                  <c:v>27.027791441219868</c:v>
                </c:pt>
                <c:pt idx="6">
                  <c:v>33.497926999999997</c:v>
                </c:pt>
                <c:pt idx="7">
                  <c:v>26.576619999999998</c:v>
                </c:pt>
                <c:pt idx="8">
                  <c:v>31.658172960817176</c:v>
                </c:pt>
                <c:pt idx="9">
                  <c:v>41.466986957634987</c:v>
                </c:pt>
                <c:pt idx="10">
                  <c:v>40.434015604617549</c:v>
                </c:pt>
                <c:pt idx="11">
                  <c:v>52.414347680879374</c:v>
                </c:pt>
                <c:pt idx="12">
                  <c:v>42.592114475831671</c:v>
                </c:pt>
                <c:pt idx="13">
                  <c:v>39.231273028444413</c:v>
                </c:pt>
                <c:pt idx="14">
                  <c:v>45.764232197341428</c:v>
                </c:pt>
                <c:pt idx="15">
                  <c:v>56.386435502814159</c:v>
                </c:pt>
                <c:pt idx="16">
                  <c:v>55.778495541909884</c:v>
                </c:pt>
                <c:pt idx="17">
                  <c:v>70.97596788069437</c:v>
                </c:pt>
                <c:pt idx="18">
                  <c:v>60.467448896817942</c:v>
                </c:pt>
                <c:pt idx="19">
                  <c:v>49.577514363637199</c:v>
                </c:pt>
                <c:pt idx="20">
                  <c:v>49.306622791831366</c:v>
                </c:pt>
                <c:pt idx="21">
                  <c:v>47.036740515437486</c:v>
                </c:pt>
              </c:numCache>
            </c:numRef>
          </c:yVal>
        </c:ser>
        <c:ser>
          <c:idx val="3"/>
          <c:order val="6"/>
          <c:tx>
            <c:strRef>
              <c:f>'Rev and Major Expenditures'!$A$9</c:f>
              <c:strCache>
                <c:ptCount val="1"/>
                <c:pt idx="0">
                  <c:v>Permit, Fees &amp; Regulatory Licenses</c:v>
                </c:pt>
              </c:strCache>
            </c:strRef>
          </c:tx>
          <c:xVal>
            <c:numRef>
              <c:f>'Rev and Major Expenditures'!$D$4:$Y$4</c:f>
              <c:numCache>
                <c:formatCode>General</c:formatCode>
                <c:ptCount val="22"/>
                <c:pt idx="0">
                  <c:v>2017</c:v>
                </c:pt>
                <c:pt idx="1">
                  <c:v>2016</c:v>
                </c:pt>
                <c:pt idx="2">
                  <c:v>2016</c:v>
                </c:pt>
                <c:pt idx="3">
                  <c:v>2015</c:v>
                </c:pt>
                <c:pt idx="4">
                  <c:v>2015</c:v>
                </c:pt>
                <c:pt idx="5">
                  <c:v>2015</c:v>
                </c:pt>
                <c:pt idx="6">
                  <c:v>2014</c:v>
                </c:pt>
                <c:pt idx="7">
                  <c:v>2014</c:v>
                </c:pt>
                <c:pt idx="8">
                  <c:v>2013</c:v>
                </c:pt>
                <c:pt idx="9">
                  <c:v>2012</c:v>
                </c:pt>
                <c:pt idx="10">
                  <c:v>2011</c:v>
                </c:pt>
                <c:pt idx="11">
                  <c:v>2010</c:v>
                </c:pt>
                <c:pt idx="12">
                  <c:v>2009</c:v>
                </c:pt>
                <c:pt idx="13">
                  <c:v>2008</c:v>
                </c:pt>
                <c:pt idx="14">
                  <c:v>2007</c:v>
                </c:pt>
                <c:pt idx="15">
                  <c:v>2006</c:v>
                </c:pt>
                <c:pt idx="16">
                  <c:v>2005</c:v>
                </c:pt>
                <c:pt idx="17">
                  <c:v>2004</c:v>
                </c:pt>
                <c:pt idx="18">
                  <c:v>2003</c:v>
                </c:pt>
                <c:pt idx="19">
                  <c:v>2002</c:v>
                </c:pt>
                <c:pt idx="20">
                  <c:v>2001</c:v>
                </c:pt>
                <c:pt idx="21">
                  <c:v>2000</c:v>
                </c:pt>
              </c:numCache>
            </c:numRef>
          </c:xVal>
          <c:yVal>
            <c:numRef>
              <c:f>'Rev and Major Expenditures'!$D$9:$Y$9</c:f>
              <c:numCache>
                <c:formatCode>"$"#,##0.00;"$"\-#,##0.00</c:formatCode>
                <c:ptCount val="22"/>
                <c:pt idx="0">
                  <c:v>45.404308381637193</c:v>
                </c:pt>
                <c:pt idx="1">
                  <c:v>44.105334291131882</c:v>
                </c:pt>
                <c:pt idx="2">
                  <c:v>44.105334291131882</c:v>
                </c:pt>
                <c:pt idx="3">
                  <c:v>44.806679783571077</c:v>
                </c:pt>
                <c:pt idx="4">
                  <c:v>39.156092474176091</c:v>
                </c:pt>
                <c:pt idx="5">
                  <c:v>38.798224299065417</c:v>
                </c:pt>
                <c:pt idx="6">
                  <c:v>39.351756000000002</c:v>
                </c:pt>
                <c:pt idx="7">
                  <c:v>38.688569000000001</c:v>
                </c:pt>
                <c:pt idx="8">
                  <c:v>38.821063109824593</c:v>
                </c:pt>
                <c:pt idx="9">
                  <c:v>37.990038602913039</c:v>
                </c:pt>
                <c:pt idx="10">
                  <c:v>36.064331166310154</c:v>
                </c:pt>
                <c:pt idx="11">
                  <c:v>31.121374728899156</c:v>
                </c:pt>
                <c:pt idx="12">
                  <c:v>27.028565079242743</c:v>
                </c:pt>
                <c:pt idx="13">
                  <c:v>29.379048116474618</c:v>
                </c:pt>
                <c:pt idx="14">
                  <c:v>35.141843337264845</c:v>
                </c:pt>
                <c:pt idx="15">
                  <c:v>37.133271385371202</c:v>
                </c:pt>
                <c:pt idx="16">
                  <c:v>33.894090336540366</c:v>
                </c:pt>
                <c:pt idx="17">
                  <c:v>35.936988732389274</c:v>
                </c:pt>
                <c:pt idx="18">
                  <c:v>35.69461989037228</c:v>
                </c:pt>
                <c:pt idx="19">
                  <c:v>37.647739382352235</c:v>
                </c:pt>
                <c:pt idx="20">
                  <c:v>42.652622811345758</c:v>
                </c:pt>
                <c:pt idx="21">
                  <c:v>46.266913545032914</c:v>
                </c:pt>
              </c:numCache>
            </c:numRef>
          </c:yVal>
        </c:ser>
        <c:ser>
          <c:idx val="5"/>
          <c:order val="7"/>
          <c:tx>
            <c:strRef>
              <c:f>'Rev and Major Expenditures'!$A$11</c:f>
              <c:strCache>
                <c:ptCount val="1"/>
                <c:pt idx="0">
                  <c:v>Revenue from Use of Money &amp; Property</c:v>
                </c:pt>
              </c:strCache>
            </c:strRef>
          </c:tx>
          <c:xVal>
            <c:numRef>
              <c:f>'Rev and Major Expenditures'!$D$4:$Y$4</c:f>
              <c:numCache>
                <c:formatCode>General</c:formatCode>
                <c:ptCount val="22"/>
                <c:pt idx="0">
                  <c:v>2017</c:v>
                </c:pt>
                <c:pt idx="1">
                  <c:v>2016</c:v>
                </c:pt>
                <c:pt idx="2">
                  <c:v>2016</c:v>
                </c:pt>
                <c:pt idx="3">
                  <c:v>2015</c:v>
                </c:pt>
                <c:pt idx="4">
                  <c:v>2015</c:v>
                </c:pt>
                <c:pt idx="5">
                  <c:v>2015</c:v>
                </c:pt>
                <c:pt idx="6">
                  <c:v>2014</c:v>
                </c:pt>
                <c:pt idx="7">
                  <c:v>2014</c:v>
                </c:pt>
                <c:pt idx="8">
                  <c:v>2013</c:v>
                </c:pt>
                <c:pt idx="9">
                  <c:v>2012</c:v>
                </c:pt>
                <c:pt idx="10">
                  <c:v>2011</c:v>
                </c:pt>
                <c:pt idx="11">
                  <c:v>2010</c:v>
                </c:pt>
                <c:pt idx="12">
                  <c:v>2009</c:v>
                </c:pt>
                <c:pt idx="13">
                  <c:v>2008</c:v>
                </c:pt>
                <c:pt idx="14">
                  <c:v>2007</c:v>
                </c:pt>
                <c:pt idx="15">
                  <c:v>2006</c:v>
                </c:pt>
                <c:pt idx="16">
                  <c:v>2005</c:v>
                </c:pt>
                <c:pt idx="17">
                  <c:v>2004</c:v>
                </c:pt>
                <c:pt idx="18">
                  <c:v>2003</c:v>
                </c:pt>
                <c:pt idx="19">
                  <c:v>2002</c:v>
                </c:pt>
                <c:pt idx="20">
                  <c:v>2001</c:v>
                </c:pt>
                <c:pt idx="21">
                  <c:v>2000</c:v>
                </c:pt>
              </c:numCache>
            </c:numRef>
          </c:xVal>
          <c:yVal>
            <c:numRef>
              <c:f>'Rev and Major Expenditures'!$D$11:$Y$11</c:f>
              <c:numCache>
                <c:formatCode>"$"#,##0.00;"$"\-#,##0.00</c:formatCode>
                <c:ptCount val="22"/>
                <c:pt idx="0">
                  <c:v>21.639370830038853</c:v>
                </c:pt>
                <c:pt idx="1">
                  <c:v>20.327434516895231</c:v>
                </c:pt>
                <c:pt idx="2">
                  <c:v>20.327434516895231</c:v>
                </c:pt>
                <c:pt idx="3">
                  <c:v>14.873082144613871</c:v>
                </c:pt>
                <c:pt idx="4">
                  <c:v>14.990687653713724</c:v>
                </c:pt>
                <c:pt idx="5">
                  <c:v>13.991084112149531</c:v>
                </c:pt>
                <c:pt idx="6">
                  <c:v>15.234795999999999</c:v>
                </c:pt>
                <c:pt idx="7">
                  <c:v>14.963799</c:v>
                </c:pt>
                <c:pt idx="8">
                  <c:v>17.795150795796793</c:v>
                </c:pt>
                <c:pt idx="9">
                  <c:v>18.9750591092142</c:v>
                </c:pt>
                <c:pt idx="10">
                  <c:v>19.79450469277694</c:v>
                </c:pt>
                <c:pt idx="11">
                  <c:v>23.685638255494769</c:v>
                </c:pt>
                <c:pt idx="12">
                  <c:v>44.154318052464923</c:v>
                </c:pt>
                <c:pt idx="13">
                  <c:v>89.699201934002332</c:v>
                </c:pt>
                <c:pt idx="14">
                  <c:v>109.17417462885957</c:v>
                </c:pt>
                <c:pt idx="15">
                  <c:v>85.988974420695286</c:v>
                </c:pt>
                <c:pt idx="16">
                  <c:v>36.605668571440518</c:v>
                </c:pt>
                <c:pt idx="17">
                  <c:v>22.455010669264158</c:v>
                </c:pt>
                <c:pt idx="18">
                  <c:v>26.687226896826093</c:v>
                </c:pt>
                <c:pt idx="19">
                  <c:v>37.153460848178618</c:v>
                </c:pt>
                <c:pt idx="20">
                  <c:v>78.786911105531729</c:v>
                </c:pt>
                <c:pt idx="21">
                  <c:v>68.162264911823485</c:v>
                </c:pt>
              </c:numCache>
            </c:numRef>
          </c:yVal>
        </c:ser>
        <c:ser>
          <c:idx val="4"/>
          <c:order val="8"/>
          <c:tx>
            <c:strRef>
              <c:f>'Rev and Major Expenditures'!$A$10</c:f>
              <c:strCache>
                <c:ptCount val="1"/>
                <c:pt idx="0">
                  <c:v>Fines &amp; Forfeitures</c:v>
                </c:pt>
              </c:strCache>
            </c:strRef>
          </c:tx>
          <c:xVal>
            <c:numRef>
              <c:f>'Rev and Major Expenditures'!$D$4:$Y$4</c:f>
              <c:numCache>
                <c:formatCode>General</c:formatCode>
                <c:ptCount val="22"/>
                <c:pt idx="0">
                  <c:v>2017</c:v>
                </c:pt>
                <c:pt idx="1">
                  <c:v>2016</c:v>
                </c:pt>
                <c:pt idx="2">
                  <c:v>2016</c:v>
                </c:pt>
                <c:pt idx="3">
                  <c:v>2015</c:v>
                </c:pt>
                <c:pt idx="4">
                  <c:v>2015</c:v>
                </c:pt>
                <c:pt idx="5">
                  <c:v>2015</c:v>
                </c:pt>
                <c:pt idx="6">
                  <c:v>2014</c:v>
                </c:pt>
                <c:pt idx="7">
                  <c:v>2014</c:v>
                </c:pt>
                <c:pt idx="8">
                  <c:v>2013</c:v>
                </c:pt>
                <c:pt idx="9">
                  <c:v>2012</c:v>
                </c:pt>
                <c:pt idx="10">
                  <c:v>2011</c:v>
                </c:pt>
                <c:pt idx="11">
                  <c:v>2010</c:v>
                </c:pt>
                <c:pt idx="12">
                  <c:v>2009</c:v>
                </c:pt>
                <c:pt idx="13">
                  <c:v>2008</c:v>
                </c:pt>
                <c:pt idx="14">
                  <c:v>2007</c:v>
                </c:pt>
                <c:pt idx="15">
                  <c:v>2006</c:v>
                </c:pt>
                <c:pt idx="16">
                  <c:v>2005</c:v>
                </c:pt>
                <c:pt idx="17">
                  <c:v>2004</c:v>
                </c:pt>
                <c:pt idx="18">
                  <c:v>2003</c:v>
                </c:pt>
                <c:pt idx="19">
                  <c:v>2002</c:v>
                </c:pt>
                <c:pt idx="20">
                  <c:v>2001</c:v>
                </c:pt>
                <c:pt idx="21">
                  <c:v>2000</c:v>
                </c:pt>
              </c:numCache>
            </c:numRef>
          </c:xVal>
          <c:yVal>
            <c:numRef>
              <c:f>'Rev and Major Expenditures'!$D$10:$Y$10</c:f>
              <c:numCache>
                <c:formatCode>"$"#,##0.00;"$"\-#,##0.00</c:formatCode>
                <c:ptCount val="22"/>
                <c:pt idx="0">
                  <c:v>11.923102445738875</c:v>
                </c:pt>
                <c:pt idx="1">
                  <c:v>12.918266216865884</c:v>
                </c:pt>
                <c:pt idx="2">
                  <c:v>12.918266216865884</c:v>
                </c:pt>
                <c:pt idx="3">
                  <c:v>12.902863748155436</c:v>
                </c:pt>
                <c:pt idx="4">
                  <c:v>13.131417609444171</c:v>
                </c:pt>
                <c:pt idx="5">
                  <c:v>14.004004918839154</c:v>
                </c:pt>
                <c:pt idx="6">
                  <c:v>14.073582999999999</c:v>
                </c:pt>
                <c:pt idx="7">
                  <c:v>14.217784</c:v>
                </c:pt>
                <c:pt idx="8">
                  <c:v>14.360767813163728</c:v>
                </c:pt>
                <c:pt idx="9">
                  <c:v>14.522629825107154</c:v>
                </c:pt>
                <c:pt idx="10">
                  <c:v>17.431909200017042</c:v>
                </c:pt>
                <c:pt idx="11">
                  <c:v>16.22273948362653</c:v>
                </c:pt>
                <c:pt idx="12">
                  <c:v>18.14562408046864</c:v>
                </c:pt>
                <c:pt idx="13">
                  <c:v>16.353786907786549</c:v>
                </c:pt>
                <c:pt idx="14">
                  <c:v>16.937658531250303</c:v>
                </c:pt>
                <c:pt idx="15">
                  <c:v>17.704855570262072</c:v>
                </c:pt>
                <c:pt idx="16">
                  <c:v>18.816862082075438</c:v>
                </c:pt>
                <c:pt idx="17">
                  <c:v>16.633946549189169</c:v>
                </c:pt>
                <c:pt idx="18">
                  <c:v>14.213160827894928</c:v>
                </c:pt>
                <c:pt idx="19">
                  <c:v>13.578711468548269</c:v>
                </c:pt>
                <c:pt idx="20">
                  <c:v>12.186409236082252</c:v>
                </c:pt>
                <c:pt idx="21">
                  <c:v>10.420613265783006</c:v>
                </c:pt>
              </c:numCache>
            </c:numRef>
          </c:yVal>
        </c:ser>
        <c:ser>
          <c:idx val="9"/>
          <c:order val="9"/>
          <c:tx>
            <c:strRef>
              <c:f>'Rev and Major Expenditures'!$A$15</c:f>
              <c:strCache>
                <c:ptCount val="1"/>
                <c:pt idx="0">
                  <c:v>Recovered Costs/Other Revenue</c:v>
                </c:pt>
              </c:strCache>
            </c:strRef>
          </c:tx>
          <c:xVal>
            <c:numRef>
              <c:f>'Rev and Major Expenditures'!$D$4:$Y$4</c:f>
              <c:numCache>
                <c:formatCode>General</c:formatCode>
                <c:ptCount val="22"/>
                <c:pt idx="0">
                  <c:v>2017</c:v>
                </c:pt>
                <c:pt idx="1">
                  <c:v>2016</c:v>
                </c:pt>
                <c:pt idx="2">
                  <c:v>2016</c:v>
                </c:pt>
                <c:pt idx="3">
                  <c:v>2015</c:v>
                </c:pt>
                <c:pt idx="4">
                  <c:v>2015</c:v>
                </c:pt>
                <c:pt idx="5">
                  <c:v>2015</c:v>
                </c:pt>
                <c:pt idx="6">
                  <c:v>2014</c:v>
                </c:pt>
                <c:pt idx="7">
                  <c:v>2014</c:v>
                </c:pt>
                <c:pt idx="8">
                  <c:v>2013</c:v>
                </c:pt>
                <c:pt idx="9">
                  <c:v>2012</c:v>
                </c:pt>
                <c:pt idx="10">
                  <c:v>2011</c:v>
                </c:pt>
                <c:pt idx="11">
                  <c:v>2010</c:v>
                </c:pt>
                <c:pt idx="12">
                  <c:v>2009</c:v>
                </c:pt>
                <c:pt idx="13">
                  <c:v>2008</c:v>
                </c:pt>
                <c:pt idx="14">
                  <c:v>2007</c:v>
                </c:pt>
                <c:pt idx="15">
                  <c:v>2006</c:v>
                </c:pt>
                <c:pt idx="16">
                  <c:v>2005</c:v>
                </c:pt>
                <c:pt idx="17">
                  <c:v>2004</c:v>
                </c:pt>
                <c:pt idx="18">
                  <c:v>2003</c:v>
                </c:pt>
                <c:pt idx="19">
                  <c:v>2002</c:v>
                </c:pt>
                <c:pt idx="20">
                  <c:v>2001</c:v>
                </c:pt>
                <c:pt idx="21">
                  <c:v>2000</c:v>
                </c:pt>
              </c:numCache>
            </c:numRef>
          </c:xVal>
          <c:yVal>
            <c:numRef>
              <c:f>'Rev and Major Expenditures'!$D$15:$Y$15</c:f>
              <c:numCache>
                <c:formatCode>"$"#,##0.00;"$"\-#,##0.00</c:formatCode>
                <c:ptCount val="22"/>
                <c:pt idx="0">
                  <c:v>15.739304078488377</c:v>
                </c:pt>
                <c:pt idx="1">
                  <c:v>17.743991479496326</c:v>
                </c:pt>
                <c:pt idx="2">
                  <c:v>17.743991479496326</c:v>
                </c:pt>
                <c:pt idx="3">
                  <c:v>19.799415641908507</c:v>
                </c:pt>
                <c:pt idx="4">
                  <c:v>19.109553369404818</c:v>
                </c:pt>
                <c:pt idx="5">
                  <c:v>15.076000983767832</c:v>
                </c:pt>
                <c:pt idx="6">
                  <c:v>17.852508</c:v>
                </c:pt>
                <c:pt idx="7">
                  <c:v>15.030165</c:v>
                </c:pt>
                <c:pt idx="8">
                  <c:v>15.546106697750123</c:v>
                </c:pt>
                <c:pt idx="9">
                  <c:v>14.678118877166098</c:v>
                </c:pt>
                <c:pt idx="10">
                  <c:v>13.157699441151868</c:v>
                </c:pt>
                <c:pt idx="11">
                  <c:v>6.4490716000308792</c:v>
                </c:pt>
                <c:pt idx="12">
                  <c:v>9.3238188943601035</c:v>
                </c:pt>
                <c:pt idx="13">
                  <c:v>10.282342034034983</c:v>
                </c:pt>
                <c:pt idx="14">
                  <c:v>8.5067479047001253</c:v>
                </c:pt>
                <c:pt idx="15">
                  <c:v>9.1210922157043672</c:v>
                </c:pt>
                <c:pt idx="16">
                  <c:v>8.7845930586183663</c:v>
                </c:pt>
                <c:pt idx="17">
                  <c:v>8.1363814271369339</c:v>
                </c:pt>
                <c:pt idx="18">
                  <c:v>6.9791160007318842</c:v>
                </c:pt>
                <c:pt idx="19">
                  <c:v>7.7637606119353348</c:v>
                </c:pt>
                <c:pt idx="20">
                  <c:v>7.2645720962121221</c:v>
                </c:pt>
                <c:pt idx="21">
                  <c:v>15.235198623842432</c:v>
                </c:pt>
              </c:numCache>
            </c:numRef>
          </c:yVal>
        </c:ser>
        <c:axId val="157574272"/>
        <c:axId val="157575808"/>
      </c:scatterChart>
      <c:valAx>
        <c:axId val="157574272"/>
        <c:scaling>
          <c:orientation val="minMax"/>
        </c:scaling>
        <c:axPos val="b"/>
        <c:majorGridlines/>
        <c:numFmt formatCode="General" sourceLinked="1"/>
        <c:tickLblPos val="nextTo"/>
        <c:crossAx val="157575808"/>
        <c:crosses val="autoZero"/>
        <c:crossBetween val="midCat"/>
      </c:valAx>
      <c:valAx>
        <c:axId val="157575808"/>
        <c:scaling>
          <c:orientation val="minMax"/>
        </c:scaling>
        <c:axPos val="l"/>
        <c:majorGridlines/>
        <c:numFmt formatCode="#,##0" sourceLinked="0"/>
        <c:tickLblPos val="nextTo"/>
        <c:crossAx val="157574272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64914842582476262"/>
          <c:y val="9.131294320857708E-2"/>
          <c:w val="0.33917274939173192"/>
          <c:h val="0.84577084406505265"/>
        </c:manualLayout>
      </c:layout>
    </c:legend>
    <c:plotVisOnly val="1"/>
  </c:chart>
  <c:printSettings>
    <c:headerFooter/>
    <c:pageMargins b="0.75000000000000799" l="0.70000000000000062" r="0.70000000000000062" t="0.75000000000000799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scatterChart>
        <c:scatterStyle val="lineMarker"/>
        <c:ser>
          <c:idx val="0"/>
          <c:order val="0"/>
          <c:tx>
            <c:strRef>
              <c:f>BPOL!$A$9</c:f>
              <c:strCache>
                <c:ptCount val="1"/>
                <c:pt idx="0">
                  <c:v>B.P.O.L.Budgeted, Current-year $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xVal>
            <c:numRef>
              <c:f>BPOL!$B$7:$R$7</c:f>
              <c:numCache>
                <c:formatCode>General</c:formatCode>
                <c:ptCount val="17"/>
                <c:pt idx="0">
                  <c:v>2017</c:v>
                </c:pt>
                <c:pt idx="1">
                  <c:v>2016</c:v>
                </c:pt>
                <c:pt idx="2">
                  <c:v>2015</c:v>
                </c:pt>
                <c:pt idx="3">
                  <c:v>2014</c:v>
                </c:pt>
                <c:pt idx="4">
                  <c:v>2013</c:v>
                </c:pt>
                <c:pt idx="5">
                  <c:v>2012</c:v>
                </c:pt>
                <c:pt idx="6">
                  <c:v>2011</c:v>
                </c:pt>
                <c:pt idx="7">
                  <c:v>2010</c:v>
                </c:pt>
                <c:pt idx="8">
                  <c:v>2009</c:v>
                </c:pt>
                <c:pt idx="9">
                  <c:v>2008</c:v>
                </c:pt>
                <c:pt idx="10">
                  <c:v>2007</c:v>
                </c:pt>
                <c:pt idx="11">
                  <c:v>2006</c:v>
                </c:pt>
                <c:pt idx="12">
                  <c:v>2005</c:v>
                </c:pt>
                <c:pt idx="13">
                  <c:v>2004</c:v>
                </c:pt>
                <c:pt idx="14">
                  <c:v>2003</c:v>
                </c:pt>
                <c:pt idx="15">
                  <c:v>2002</c:v>
                </c:pt>
                <c:pt idx="16">
                  <c:v>2001</c:v>
                </c:pt>
              </c:numCache>
            </c:numRef>
          </c:xVal>
          <c:yVal>
            <c:numRef>
              <c:f>BPOL!$B$9:$R$9</c:f>
              <c:numCache>
                <c:formatCode>General</c:formatCode>
                <c:ptCount val="17"/>
                <c:pt idx="0">
                  <c:v>154.05933300000001</c:v>
                </c:pt>
                <c:pt idx="1">
                  <c:v>146.818108</c:v>
                </c:pt>
                <c:pt idx="2">
                  <c:v>152.53399300000001</c:v>
                </c:pt>
                <c:pt idx="3">
                  <c:v>160.69999999999999</c:v>
                </c:pt>
                <c:pt idx="4">
                  <c:v>159.69999999999999</c:v>
                </c:pt>
                <c:pt idx="5">
                  <c:v>143.4</c:v>
                </c:pt>
                <c:pt idx="6">
                  <c:v>138.5</c:v>
                </c:pt>
                <c:pt idx="7">
                  <c:v>133.19999999999999</c:v>
                </c:pt>
                <c:pt idx="8">
                  <c:v>148.19999999999999</c:v>
                </c:pt>
                <c:pt idx="9">
                  <c:v>140</c:v>
                </c:pt>
                <c:pt idx="10">
                  <c:v>131.30000000000001</c:v>
                </c:pt>
                <c:pt idx="11">
                  <c:v>114.5</c:v>
                </c:pt>
                <c:pt idx="12">
                  <c:v>100.6</c:v>
                </c:pt>
                <c:pt idx="13">
                  <c:v>93.6</c:v>
                </c:pt>
                <c:pt idx="14">
                  <c:v>87.7</c:v>
                </c:pt>
                <c:pt idx="15">
                  <c:v>87.7</c:v>
                </c:pt>
                <c:pt idx="16">
                  <c:v>86.2</c:v>
                </c:pt>
              </c:numCache>
            </c:numRef>
          </c:yVal>
        </c:ser>
        <c:ser>
          <c:idx val="1"/>
          <c:order val="1"/>
          <c:tx>
            <c:v>2014$</c:v>
          </c:tx>
          <c:spPr>
            <a:ln>
              <a:solidFill>
                <a:schemeClr val="tx1"/>
              </a:solidFill>
              <a:prstDash val="sysDash"/>
            </a:ln>
          </c:spPr>
          <c:marker>
            <c:symbol val="none"/>
          </c:marker>
          <c:xVal>
            <c:numRef>
              <c:f>BPOL!$B$7:$R$7</c:f>
              <c:numCache>
                <c:formatCode>General</c:formatCode>
                <c:ptCount val="17"/>
                <c:pt idx="0">
                  <c:v>2017</c:v>
                </c:pt>
                <c:pt idx="1">
                  <c:v>2016</c:v>
                </c:pt>
                <c:pt idx="2">
                  <c:v>2015</c:v>
                </c:pt>
                <c:pt idx="3">
                  <c:v>2014</c:v>
                </c:pt>
                <c:pt idx="4">
                  <c:v>2013</c:v>
                </c:pt>
                <c:pt idx="5">
                  <c:v>2012</c:v>
                </c:pt>
                <c:pt idx="6">
                  <c:v>2011</c:v>
                </c:pt>
                <c:pt idx="7">
                  <c:v>2010</c:v>
                </c:pt>
                <c:pt idx="8">
                  <c:v>2009</c:v>
                </c:pt>
                <c:pt idx="9">
                  <c:v>2008</c:v>
                </c:pt>
                <c:pt idx="10">
                  <c:v>2007</c:v>
                </c:pt>
                <c:pt idx="11">
                  <c:v>2006</c:v>
                </c:pt>
                <c:pt idx="12">
                  <c:v>2005</c:v>
                </c:pt>
                <c:pt idx="13">
                  <c:v>2004</c:v>
                </c:pt>
                <c:pt idx="14">
                  <c:v>2003</c:v>
                </c:pt>
                <c:pt idx="15">
                  <c:v>2002</c:v>
                </c:pt>
                <c:pt idx="16">
                  <c:v>2001</c:v>
                </c:pt>
              </c:numCache>
            </c:numRef>
          </c:xVal>
          <c:yVal>
            <c:numRef>
              <c:f>BPOL!$B$10:$R$10</c:f>
              <c:numCache>
                <c:formatCode>General</c:formatCode>
                <c:ptCount val="17"/>
                <c:pt idx="0">
                  <c:v>147.62226806082032</c:v>
                </c:pt>
                <c:pt idx="1">
                  <c:v>142.09043937839229</c:v>
                </c:pt>
                <c:pt idx="2">
                  <c:v>150.05803541564194</c:v>
                </c:pt>
                <c:pt idx="3">
                  <c:v>160.69999999999999</c:v>
                </c:pt>
                <c:pt idx="4">
                  <c:v>162.2906900949209</c:v>
                </c:pt>
                <c:pt idx="5">
                  <c:v>147.86091370742619</c:v>
                </c:pt>
                <c:pt idx="6">
                  <c:v>145.76367277078617</c:v>
                </c:pt>
                <c:pt idx="7">
                  <c:v>144.61082199068127</c:v>
                </c:pt>
                <c:pt idx="8">
                  <c:v>163.5349608692207</c:v>
                </c:pt>
                <c:pt idx="9">
                  <c:v>153.9368393999774</c:v>
                </c:pt>
                <c:pt idx="10">
                  <c:v>149.91395223029264</c:v>
                </c:pt>
                <c:pt idx="11">
                  <c:v>134.45580894510582</c:v>
                </c:pt>
                <c:pt idx="12">
                  <c:v>121.94397525174944</c:v>
                </c:pt>
                <c:pt idx="13">
                  <c:v>117.30283324510323</c:v>
                </c:pt>
                <c:pt idx="14">
                  <c:v>112.83566204710147</c:v>
                </c:pt>
                <c:pt idx="15">
                  <c:v>115.40723633500093</c:v>
                </c:pt>
                <c:pt idx="16">
                  <c:v>115.22675079992473</c:v>
                </c:pt>
              </c:numCache>
            </c:numRef>
          </c:yVal>
        </c:ser>
        <c:ser>
          <c:idx val="2"/>
          <c:order val="2"/>
          <c:tx>
            <c:strRef>
              <c:f>BPOL!$A$12</c:f>
              <c:strCache>
                <c:ptCount val="1"/>
                <c:pt idx="0">
                  <c:v>B.P.O.L.Collected, Current-year $</c:v>
                </c:pt>
              </c:strCache>
            </c:strRef>
          </c:tx>
          <c:spPr>
            <a:ln>
              <a:noFill/>
            </a:ln>
          </c:spPr>
          <c:marker>
            <c:spPr>
              <a:solidFill>
                <a:schemeClr val="tx1"/>
              </a:solidFill>
            </c:spPr>
          </c:marker>
          <c:xVal>
            <c:numRef>
              <c:f>BPOL!$B$7:$R$7</c:f>
              <c:numCache>
                <c:formatCode>General</c:formatCode>
                <c:ptCount val="17"/>
                <c:pt idx="0">
                  <c:v>2017</c:v>
                </c:pt>
                <c:pt idx="1">
                  <c:v>2016</c:v>
                </c:pt>
                <c:pt idx="2">
                  <c:v>2015</c:v>
                </c:pt>
                <c:pt idx="3">
                  <c:v>2014</c:v>
                </c:pt>
                <c:pt idx="4">
                  <c:v>2013</c:v>
                </c:pt>
                <c:pt idx="5">
                  <c:v>2012</c:v>
                </c:pt>
                <c:pt idx="6">
                  <c:v>2011</c:v>
                </c:pt>
                <c:pt idx="7">
                  <c:v>2010</c:v>
                </c:pt>
                <c:pt idx="8">
                  <c:v>2009</c:v>
                </c:pt>
                <c:pt idx="9">
                  <c:v>2008</c:v>
                </c:pt>
                <c:pt idx="10">
                  <c:v>2007</c:v>
                </c:pt>
                <c:pt idx="11">
                  <c:v>2006</c:v>
                </c:pt>
                <c:pt idx="12">
                  <c:v>2005</c:v>
                </c:pt>
                <c:pt idx="13">
                  <c:v>2004</c:v>
                </c:pt>
                <c:pt idx="14">
                  <c:v>2003</c:v>
                </c:pt>
                <c:pt idx="15">
                  <c:v>2002</c:v>
                </c:pt>
                <c:pt idx="16">
                  <c:v>2001</c:v>
                </c:pt>
              </c:numCache>
            </c:numRef>
          </c:xVal>
          <c:yVal>
            <c:numRef>
              <c:f>BPOL!$B$12:$R$12</c:f>
              <c:numCache>
                <c:formatCode>General</c:formatCode>
                <c:ptCount val="17"/>
                <c:pt idx="3">
                  <c:v>151.96599499999999</c:v>
                </c:pt>
                <c:pt idx="4">
                  <c:v>156.17030800000001</c:v>
                </c:pt>
                <c:pt idx="5">
                  <c:v>155.466216</c:v>
                </c:pt>
                <c:pt idx="6">
                  <c:v>150.53700799999999</c:v>
                </c:pt>
                <c:pt idx="7">
                  <c:v>138.54261299999999</c:v>
                </c:pt>
                <c:pt idx="8">
                  <c:v>139.98713799999999</c:v>
                </c:pt>
                <c:pt idx="9">
                  <c:v>138.32322400000001</c:v>
                </c:pt>
                <c:pt idx="10">
                  <c:v>132.54194799999999</c:v>
                </c:pt>
                <c:pt idx="11">
                  <c:v>127.179068</c:v>
                </c:pt>
                <c:pt idx="12">
                  <c:v>115.40523399999999</c:v>
                </c:pt>
                <c:pt idx="13">
                  <c:v>101.997399</c:v>
                </c:pt>
                <c:pt idx="14">
                  <c:v>93.427420999999995</c:v>
                </c:pt>
                <c:pt idx="15">
                  <c:v>91.291753999999997</c:v>
                </c:pt>
                <c:pt idx="16">
                  <c:v>89.266311000000002</c:v>
                </c:pt>
              </c:numCache>
            </c:numRef>
          </c:yVal>
        </c:ser>
        <c:axId val="170017152"/>
        <c:axId val="170019072"/>
      </c:scatterChart>
      <c:valAx>
        <c:axId val="170017152"/>
        <c:scaling>
          <c:orientation val="minMax"/>
        </c:scaling>
        <c:axPos val="b"/>
        <c:majorGridlines/>
        <c:numFmt formatCode="General" sourceLinked="1"/>
        <c:tickLblPos val="nextTo"/>
        <c:crossAx val="170019072"/>
        <c:crosses val="autoZero"/>
        <c:crossBetween val="midCat"/>
      </c:valAx>
      <c:valAx>
        <c:axId val="170019072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sz="1200"/>
                  <a:t>BPOL Revenue, millions of $</a:t>
                </a:r>
              </a:p>
            </c:rich>
          </c:tx>
          <c:layout/>
        </c:title>
        <c:numFmt formatCode="General" sourceLinked="1"/>
        <c:tickLblPos val="nextTo"/>
        <c:crossAx val="170017152"/>
        <c:crosses val="autoZero"/>
        <c:crossBetween val="midCat"/>
      </c:valAx>
      <c:spPr>
        <a:ln w="12700">
          <a:solidFill>
            <a:schemeClr val="tx1"/>
          </a:solidFill>
        </a:ln>
      </c:spPr>
    </c:plotArea>
    <c:legend>
      <c:legendPos val="r"/>
      <c:layout/>
    </c:legend>
    <c:plotVisOnly val="1"/>
  </c:chart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scatterChart>
        <c:scatterStyle val="lineMarker"/>
        <c:ser>
          <c:idx val="3"/>
          <c:order val="0"/>
          <c:tx>
            <c:strRef>
              <c:f>Assessments!$A$16</c:f>
              <c:strCache>
                <c:ptCount val="1"/>
                <c:pt idx="0">
                  <c:v>Vacant Land </c:v>
                </c:pt>
              </c:strCache>
            </c:strRef>
          </c:tx>
          <c:marker>
            <c:symbol val="none"/>
          </c:marker>
          <c:xVal>
            <c:numRef>
              <c:f>Assessments!$C$12:$T$12</c:f>
              <c:numCache>
                <c:formatCode>General</c:formatCode>
                <c:ptCount val="18"/>
                <c:pt idx="0">
                  <c:v>2017</c:v>
                </c:pt>
                <c:pt idx="1">
                  <c:v>2016</c:v>
                </c:pt>
                <c:pt idx="2">
                  <c:v>2015</c:v>
                </c:pt>
                <c:pt idx="3">
                  <c:v>2014</c:v>
                </c:pt>
                <c:pt idx="4">
                  <c:v>2013</c:v>
                </c:pt>
                <c:pt idx="5">
                  <c:v>2012</c:v>
                </c:pt>
                <c:pt idx="6">
                  <c:v>2011</c:v>
                </c:pt>
                <c:pt idx="7">
                  <c:v>2010</c:v>
                </c:pt>
                <c:pt idx="8">
                  <c:v>2009</c:v>
                </c:pt>
                <c:pt idx="9">
                  <c:v>2008</c:v>
                </c:pt>
                <c:pt idx="10">
                  <c:v>2007</c:v>
                </c:pt>
                <c:pt idx="11">
                  <c:v>2006</c:v>
                </c:pt>
                <c:pt idx="12">
                  <c:v>2005</c:v>
                </c:pt>
                <c:pt idx="13">
                  <c:v>2004</c:v>
                </c:pt>
                <c:pt idx="14">
                  <c:v>2003</c:v>
                </c:pt>
                <c:pt idx="15">
                  <c:v>2002</c:v>
                </c:pt>
                <c:pt idx="16">
                  <c:v>2001</c:v>
                </c:pt>
              </c:numCache>
            </c:numRef>
          </c:xVal>
          <c:yVal>
            <c:numRef>
              <c:f>Assessments!$C$16:$T$16</c:f>
              <c:numCache>
                <c:formatCode>0.00%</c:formatCode>
                <c:ptCount val="18"/>
                <c:pt idx="0">
                  <c:v>3.1259476374672097</c:v>
                </c:pt>
                <c:pt idx="1">
                  <c:v>3.097451087462554</c:v>
                </c:pt>
                <c:pt idx="2">
                  <c:v>3.0063584271207939</c:v>
                </c:pt>
                <c:pt idx="3">
                  <c:v>2.9080658029800674</c:v>
                </c:pt>
                <c:pt idx="4">
                  <c:v>2.8263833248907257</c:v>
                </c:pt>
                <c:pt idx="5">
                  <c:v>2.8740932732262818</c:v>
                </c:pt>
                <c:pt idx="6">
                  <c:v>2.9783349981619502</c:v>
                </c:pt>
                <c:pt idx="7">
                  <c:v>3.1915291450513825</c:v>
                </c:pt>
                <c:pt idx="8">
                  <c:v>3.4347063549842685</c:v>
                </c:pt>
                <c:pt idx="9">
                  <c:v>3.1903272849565933</c:v>
                </c:pt>
                <c:pt idx="10">
                  <c:v>3.0717574474837219</c:v>
                </c:pt>
                <c:pt idx="11">
                  <c:v>2.4487862304557733</c:v>
                </c:pt>
                <c:pt idx="12">
                  <c:v>1.938557813850359</c:v>
                </c:pt>
                <c:pt idx="13">
                  <c:v>1.6829219670547435</c:v>
                </c:pt>
                <c:pt idx="14">
                  <c:v>1.3656755392799997</c:v>
                </c:pt>
                <c:pt idx="15">
                  <c:v>1.1851735999999999</c:v>
                </c:pt>
                <c:pt idx="16">
                  <c:v>1.0984</c:v>
                </c:pt>
              </c:numCache>
            </c:numRef>
          </c:yVal>
        </c:ser>
        <c:ser>
          <c:idx val="2"/>
          <c:order val="1"/>
          <c:tx>
            <c:strRef>
              <c:f>Assessments!$A$15</c:f>
              <c:strCache>
                <c:ptCount val="1"/>
                <c:pt idx="0">
                  <c:v>Condominiums </c:v>
                </c:pt>
              </c:strCache>
            </c:strRef>
          </c:tx>
          <c:marker>
            <c:symbol val="none"/>
          </c:marker>
          <c:xVal>
            <c:numRef>
              <c:f>Assessments!$C$12:$T$12</c:f>
              <c:numCache>
                <c:formatCode>General</c:formatCode>
                <c:ptCount val="18"/>
                <c:pt idx="0">
                  <c:v>2017</c:v>
                </c:pt>
                <c:pt idx="1">
                  <c:v>2016</c:v>
                </c:pt>
                <c:pt idx="2">
                  <c:v>2015</c:v>
                </c:pt>
                <c:pt idx="3">
                  <c:v>2014</c:v>
                </c:pt>
                <c:pt idx="4">
                  <c:v>2013</c:v>
                </c:pt>
                <c:pt idx="5">
                  <c:v>2012</c:v>
                </c:pt>
                <c:pt idx="6">
                  <c:v>2011</c:v>
                </c:pt>
                <c:pt idx="7">
                  <c:v>2010</c:v>
                </c:pt>
                <c:pt idx="8">
                  <c:v>2009</c:v>
                </c:pt>
                <c:pt idx="9">
                  <c:v>2008</c:v>
                </c:pt>
                <c:pt idx="10">
                  <c:v>2007</c:v>
                </c:pt>
                <c:pt idx="11">
                  <c:v>2006</c:v>
                </c:pt>
                <c:pt idx="12">
                  <c:v>2005</c:v>
                </c:pt>
                <c:pt idx="13">
                  <c:v>2004</c:v>
                </c:pt>
                <c:pt idx="14">
                  <c:v>2003</c:v>
                </c:pt>
                <c:pt idx="15">
                  <c:v>2002</c:v>
                </c:pt>
                <c:pt idx="16">
                  <c:v>2001</c:v>
                </c:pt>
              </c:numCache>
            </c:numRef>
          </c:xVal>
          <c:yVal>
            <c:numRef>
              <c:f>Assessments!$C$15:$T$15</c:f>
              <c:numCache>
                <c:formatCode>0.00%</c:formatCode>
                <c:ptCount val="18"/>
                <c:pt idx="0">
                  <c:v>2.6829576062500506</c:v>
                </c:pt>
                <c:pt idx="1">
                  <c:v>2.6635139543830539</c:v>
                </c:pt>
                <c:pt idx="2">
                  <c:v>2.5493050865075171</c:v>
                </c:pt>
                <c:pt idx="3">
                  <c:v>2.3068546615758909</c:v>
                </c:pt>
                <c:pt idx="4">
                  <c:v>2.188251433860644</c:v>
                </c:pt>
                <c:pt idx="5">
                  <c:v>2.1895651729644228</c:v>
                </c:pt>
                <c:pt idx="6">
                  <c:v>2.1355361093966865</c:v>
                </c:pt>
                <c:pt idx="7">
                  <c:v>2.3847416073664842</c:v>
                </c:pt>
                <c:pt idx="8">
                  <c:v>2.9627799818194611</c:v>
                </c:pt>
                <c:pt idx="9">
                  <c:v>3.1036873892933805</c:v>
                </c:pt>
                <c:pt idx="10">
                  <c:v>3.1744782543657362</c:v>
                </c:pt>
                <c:pt idx="11">
                  <c:v>2.5200271924789521</c:v>
                </c:pt>
                <c:pt idx="12">
                  <c:v>1.8878022267427912</c:v>
                </c:pt>
                <c:pt idx="13">
                  <c:v>1.6240555976796209</c:v>
                </c:pt>
                <c:pt idx="14">
                  <c:v>1.3523653906899999</c:v>
                </c:pt>
                <c:pt idx="15">
                  <c:v>1.1159051</c:v>
                </c:pt>
                <c:pt idx="16">
                  <c:v>1.0117</c:v>
                </c:pt>
              </c:numCache>
            </c:numRef>
          </c:yVal>
        </c:ser>
        <c:ser>
          <c:idx val="1"/>
          <c:order val="2"/>
          <c:tx>
            <c:strRef>
              <c:f>Assessments!$A$14</c:f>
              <c:strCache>
                <c:ptCount val="1"/>
                <c:pt idx="0">
                  <c:v>Townhouse/Duplex </c:v>
                </c:pt>
              </c:strCache>
            </c:strRef>
          </c:tx>
          <c:marker>
            <c:symbol val="none"/>
          </c:marker>
          <c:xVal>
            <c:numRef>
              <c:f>Assessments!$C$12:$T$12</c:f>
              <c:numCache>
                <c:formatCode>General</c:formatCode>
                <c:ptCount val="18"/>
                <c:pt idx="0">
                  <c:v>2017</c:v>
                </c:pt>
                <c:pt idx="1">
                  <c:v>2016</c:v>
                </c:pt>
                <c:pt idx="2">
                  <c:v>2015</c:v>
                </c:pt>
                <c:pt idx="3">
                  <c:v>2014</c:v>
                </c:pt>
                <c:pt idx="4">
                  <c:v>2013</c:v>
                </c:pt>
                <c:pt idx="5">
                  <c:v>2012</c:v>
                </c:pt>
                <c:pt idx="6">
                  <c:v>2011</c:v>
                </c:pt>
                <c:pt idx="7">
                  <c:v>2010</c:v>
                </c:pt>
                <c:pt idx="8">
                  <c:v>2009</c:v>
                </c:pt>
                <c:pt idx="9">
                  <c:v>2008</c:v>
                </c:pt>
                <c:pt idx="10">
                  <c:v>2007</c:v>
                </c:pt>
                <c:pt idx="11">
                  <c:v>2006</c:v>
                </c:pt>
                <c:pt idx="12">
                  <c:v>2005</c:v>
                </c:pt>
                <c:pt idx="13">
                  <c:v>2004</c:v>
                </c:pt>
                <c:pt idx="14">
                  <c:v>2003</c:v>
                </c:pt>
                <c:pt idx="15">
                  <c:v>2002</c:v>
                </c:pt>
                <c:pt idx="16">
                  <c:v>2001</c:v>
                </c:pt>
              </c:numCache>
            </c:numRef>
          </c:xVal>
          <c:yVal>
            <c:numRef>
              <c:f>Assessments!$C$14:$T$14</c:f>
              <c:numCache>
                <c:formatCode>0.00%</c:formatCode>
                <c:ptCount val="18"/>
                <c:pt idx="0">
                  <c:v>2.6580600224343618</c:v>
                </c:pt>
                <c:pt idx="1">
                  <c:v>2.6046644021894778</c:v>
                </c:pt>
                <c:pt idx="2">
                  <c:v>2.5090688779399652</c:v>
                </c:pt>
                <c:pt idx="3">
                  <c:v>2.3148527335916276</c:v>
                </c:pt>
                <c:pt idx="4">
                  <c:v>2.2151700799919882</c:v>
                </c:pt>
                <c:pt idx="5">
                  <c:v>2.1889032410988025</c:v>
                </c:pt>
                <c:pt idx="6">
                  <c:v>2.1101930406813865</c:v>
                </c:pt>
                <c:pt idx="7">
                  <c:v>2.2082388454179434</c:v>
                </c:pt>
                <c:pt idx="8">
                  <c:v>2.6307348646866133</c:v>
                </c:pt>
                <c:pt idx="9">
                  <c:v>2.7680291084665543</c:v>
                </c:pt>
                <c:pt idx="10">
                  <c:v>2.7504263796368784</c:v>
                </c:pt>
                <c:pt idx="11">
                  <c:v>2.2417689947321526</c:v>
                </c:pt>
                <c:pt idx="12">
                  <c:v>1.7780528194258827</c:v>
                </c:pt>
                <c:pt idx="13">
                  <c:v>1.5736373302291198</c:v>
                </c:pt>
                <c:pt idx="14">
                  <c:v>1.3449891711359998</c:v>
                </c:pt>
                <c:pt idx="15">
                  <c:v>1.1344375599999998</c:v>
                </c:pt>
                <c:pt idx="16">
                  <c:v>1.0222</c:v>
                </c:pt>
              </c:numCache>
            </c:numRef>
          </c:yVal>
        </c:ser>
        <c:ser>
          <c:idx val="0"/>
          <c:order val="3"/>
          <c:tx>
            <c:strRef>
              <c:f>Assessments!$A$13</c:f>
              <c:strCache>
                <c:ptCount val="1"/>
                <c:pt idx="0">
                  <c:v>Single Family </c:v>
                </c:pt>
              </c:strCache>
            </c:strRef>
          </c:tx>
          <c:marker>
            <c:symbol val="none"/>
          </c:marker>
          <c:xVal>
            <c:numRef>
              <c:f>Assessments!$C$12:$T$12</c:f>
              <c:numCache>
                <c:formatCode>General</c:formatCode>
                <c:ptCount val="18"/>
                <c:pt idx="0">
                  <c:v>2017</c:v>
                </c:pt>
                <c:pt idx="1">
                  <c:v>2016</c:v>
                </c:pt>
                <c:pt idx="2">
                  <c:v>2015</c:v>
                </c:pt>
                <c:pt idx="3">
                  <c:v>2014</c:v>
                </c:pt>
                <c:pt idx="4">
                  <c:v>2013</c:v>
                </c:pt>
                <c:pt idx="5">
                  <c:v>2012</c:v>
                </c:pt>
                <c:pt idx="6">
                  <c:v>2011</c:v>
                </c:pt>
                <c:pt idx="7">
                  <c:v>2010</c:v>
                </c:pt>
                <c:pt idx="8">
                  <c:v>2009</c:v>
                </c:pt>
                <c:pt idx="9">
                  <c:v>2008</c:v>
                </c:pt>
                <c:pt idx="10">
                  <c:v>2007</c:v>
                </c:pt>
                <c:pt idx="11">
                  <c:v>2006</c:v>
                </c:pt>
                <c:pt idx="12">
                  <c:v>2005</c:v>
                </c:pt>
                <c:pt idx="13">
                  <c:v>2004</c:v>
                </c:pt>
                <c:pt idx="14">
                  <c:v>2003</c:v>
                </c:pt>
                <c:pt idx="15">
                  <c:v>2002</c:v>
                </c:pt>
                <c:pt idx="16">
                  <c:v>2001</c:v>
                </c:pt>
              </c:numCache>
            </c:numRef>
          </c:xVal>
          <c:yVal>
            <c:numRef>
              <c:f>Assessments!$C$13:$T$13</c:f>
              <c:numCache>
                <c:formatCode>0.00%</c:formatCode>
                <c:ptCount val="18"/>
                <c:pt idx="0">
                  <c:v>2.463555203975281</c:v>
                </c:pt>
                <c:pt idx="1">
                  <c:v>2.4226130435394642</c:v>
                </c:pt>
                <c:pt idx="2">
                  <c:v>2.3459020466151488</c:v>
                </c:pt>
                <c:pt idx="3">
                  <c:v>2.2168796509309665</c:v>
                </c:pt>
                <c:pt idx="4">
                  <c:v>2.149597256793335</c:v>
                </c:pt>
                <c:pt idx="5">
                  <c:v>2.1346546740748114</c:v>
                </c:pt>
                <c:pt idx="6">
                  <c:v>2.0907489462045166</c:v>
                </c:pt>
                <c:pt idx="7">
                  <c:v>2.2124327473063667</c:v>
                </c:pt>
                <c:pt idx="8">
                  <c:v>2.4954125279792088</c:v>
                </c:pt>
                <c:pt idx="9">
                  <c:v>2.5757767629843196</c:v>
                </c:pt>
                <c:pt idx="10">
                  <c:v>2.5869004348541926</c:v>
                </c:pt>
                <c:pt idx="11">
                  <c:v>2.1491238970293201</c:v>
                </c:pt>
                <c:pt idx="12">
                  <c:v>1.7585499525647004</c:v>
                </c:pt>
                <c:pt idx="13">
                  <c:v>1.5814298134574643</c:v>
                </c:pt>
                <c:pt idx="14">
                  <c:v>1.3853962448160002</c:v>
                </c:pt>
                <c:pt idx="15">
                  <c:v>1.1928674400000001</c:v>
                </c:pt>
                <c:pt idx="16">
                  <c:v>1.0643</c:v>
                </c:pt>
              </c:numCache>
            </c:numRef>
          </c:yVal>
        </c:ser>
        <c:ser>
          <c:idx val="5"/>
          <c:order val="4"/>
          <c:tx>
            <c:strRef>
              <c:f>Assessments!$A$18</c:f>
              <c:strCache>
                <c:ptCount val="1"/>
                <c:pt idx="0">
                  <c:v>Total Residential Equalization </c:v>
                </c:pt>
              </c:strCache>
            </c:strRef>
          </c:tx>
          <c:spPr>
            <a:ln>
              <a:prstDash val="sysDash"/>
            </a:ln>
          </c:spPr>
          <c:marker>
            <c:symbol val="none"/>
          </c:marker>
          <c:xVal>
            <c:numRef>
              <c:f>Assessments!$C$12:$T$12</c:f>
              <c:numCache>
                <c:formatCode>General</c:formatCode>
                <c:ptCount val="18"/>
                <c:pt idx="0">
                  <c:v>2017</c:v>
                </c:pt>
                <c:pt idx="1">
                  <c:v>2016</c:v>
                </c:pt>
                <c:pt idx="2">
                  <c:v>2015</c:v>
                </c:pt>
                <c:pt idx="3">
                  <c:v>2014</c:v>
                </c:pt>
                <c:pt idx="4">
                  <c:v>2013</c:v>
                </c:pt>
                <c:pt idx="5">
                  <c:v>2012</c:v>
                </c:pt>
                <c:pt idx="6">
                  <c:v>2011</c:v>
                </c:pt>
                <c:pt idx="7">
                  <c:v>2010</c:v>
                </c:pt>
                <c:pt idx="8">
                  <c:v>2009</c:v>
                </c:pt>
                <c:pt idx="9">
                  <c:v>2008</c:v>
                </c:pt>
                <c:pt idx="10">
                  <c:v>2007</c:v>
                </c:pt>
                <c:pt idx="11">
                  <c:v>2006</c:v>
                </c:pt>
                <c:pt idx="12">
                  <c:v>2005</c:v>
                </c:pt>
                <c:pt idx="13">
                  <c:v>2004</c:v>
                </c:pt>
                <c:pt idx="14">
                  <c:v>2003</c:v>
                </c:pt>
                <c:pt idx="15">
                  <c:v>2002</c:v>
                </c:pt>
                <c:pt idx="16">
                  <c:v>2001</c:v>
                </c:pt>
              </c:numCache>
            </c:numRef>
          </c:xVal>
          <c:yVal>
            <c:numRef>
              <c:f>Assessments!$C$18:$T$18</c:f>
              <c:numCache>
                <c:formatCode>0.00%</c:formatCode>
                <c:ptCount val="18"/>
                <c:pt idx="0">
                  <c:v>2.4440393120907573</c:v>
                </c:pt>
                <c:pt idx="1">
                  <c:v>2.4046038096131026</c:v>
                </c:pt>
                <c:pt idx="2">
                  <c:v>2.3257605277232831</c:v>
                </c:pt>
                <c:pt idx="3">
                  <c:v>2.1829927986890212</c:v>
                </c:pt>
                <c:pt idx="4">
                  <c:v>2.1091717861729675</c:v>
                </c:pt>
                <c:pt idx="5">
                  <c:v>2.094302240267071</c:v>
                </c:pt>
                <c:pt idx="6">
                  <c:v>2.0464161034464246</c:v>
                </c:pt>
                <c:pt idx="7">
                  <c:v>2.1668954928488189</c:v>
                </c:pt>
                <c:pt idx="8">
                  <c:v>2.4778679163508506</c:v>
                </c:pt>
                <c:pt idx="9">
                  <c:v>2.5645496960782972</c:v>
                </c:pt>
                <c:pt idx="10">
                  <c:v>2.5730407304889105</c:v>
                </c:pt>
                <c:pt idx="11">
                  <c:v>2.1340638056638555</c:v>
                </c:pt>
                <c:pt idx="12">
                  <c:v>1.733742631947238</c:v>
                </c:pt>
                <c:pt idx="13">
                  <c:v>1.5578602138082829</c:v>
                </c:pt>
                <c:pt idx="14">
                  <c:v>1.3599827270259999</c:v>
                </c:pt>
                <c:pt idx="15">
                  <c:v>1.1696763799999998</c:v>
                </c:pt>
                <c:pt idx="16">
                  <c:v>1.0512999999999999</c:v>
                </c:pt>
              </c:numCache>
            </c:numRef>
          </c:yVal>
        </c:ser>
        <c:ser>
          <c:idx val="4"/>
          <c:order val="5"/>
          <c:tx>
            <c:strRef>
              <c:f>Assessments!$A$17</c:f>
              <c:strCache>
                <c:ptCount val="1"/>
                <c:pt idx="0">
                  <c:v>Other</c:v>
                </c:pt>
              </c:strCache>
            </c:strRef>
          </c:tx>
          <c:marker>
            <c:symbol val="none"/>
          </c:marker>
          <c:xVal>
            <c:numRef>
              <c:f>Assessments!$C$12:$T$12</c:f>
              <c:numCache>
                <c:formatCode>General</c:formatCode>
                <c:ptCount val="18"/>
                <c:pt idx="0">
                  <c:v>2017</c:v>
                </c:pt>
                <c:pt idx="1">
                  <c:v>2016</c:v>
                </c:pt>
                <c:pt idx="2">
                  <c:v>2015</c:v>
                </c:pt>
                <c:pt idx="3">
                  <c:v>2014</c:v>
                </c:pt>
                <c:pt idx="4">
                  <c:v>2013</c:v>
                </c:pt>
                <c:pt idx="5">
                  <c:v>2012</c:v>
                </c:pt>
                <c:pt idx="6">
                  <c:v>2011</c:v>
                </c:pt>
                <c:pt idx="7">
                  <c:v>2010</c:v>
                </c:pt>
                <c:pt idx="8">
                  <c:v>2009</c:v>
                </c:pt>
                <c:pt idx="9">
                  <c:v>2008</c:v>
                </c:pt>
                <c:pt idx="10">
                  <c:v>2007</c:v>
                </c:pt>
                <c:pt idx="11">
                  <c:v>2006</c:v>
                </c:pt>
                <c:pt idx="12">
                  <c:v>2005</c:v>
                </c:pt>
                <c:pt idx="13">
                  <c:v>2004</c:v>
                </c:pt>
                <c:pt idx="14">
                  <c:v>2003</c:v>
                </c:pt>
                <c:pt idx="15">
                  <c:v>2002</c:v>
                </c:pt>
                <c:pt idx="16">
                  <c:v>2001</c:v>
                </c:pt>
              </c:numCache>
            </c:numRef>
          </c:xVal>
          <c:yVal>
            <c:numRef>
              <c:f>Assessments!$C$17:$T$17</c:f>
              <c:numCache>
                <c:formatCode>0.00%</c:formatCode>
                <c:ptCount val="18"/>
                <c:pt idx="0">
                  <c:v>1.7150184676318767</c:v>
                </c:pt>
                <c:pt idx="1">
                  <c:v>1.6115565378987753</c:v>
                </c:pt>
                <c:pt idx="2">
                  <c:v>1.5713304776704127</c:v>
                </c:pt>
                <c:pt idx="3">
                  <c:v>1.5193680890257326</c:v>
                </c:pt>
                <c:pt idx="4">
                  <c:v>1.4506092123598744</c:v>
                </c:pt>
                <c:pt idx="5">
                  <c:v>1.4144005580732004</c:v>
                </c:pt>
                <c:pt idx="6">
                  <c:v>1.3773498471839523</c:v>
                </c:pt>
                <c:pt idx="7">
                  <c:v>1.4287861485310709</c:v>
                </c:pt>
                <c:pt idx="8">
                  <c:v>1.50382712191461</c:v>
                </c:pt>
                <c:pt idx="9">
                  <c:v>1.4125747904514465</c:v>
                </c:pt>
                <c:pt idx="10">
                  <c:v>1.3718313979328411</c:v>
                </c:pt>
                <c:pt idx="11">
                  <c:v>1.2508720688728376</c:v>
                </c:pt>
                <c:pt idx="12">
                  <c:v>1.1879126959856008</c:v>
                </c:pt>
                <c:pt idx="13">
                  <c:v>1.13253188672476</c:v>
                </c:pt>
                <c:pt idx="14">
                  <c:v>1.1040474622000001</c:v>
                </c:pt>
                <c:pt idx="15">
                  <c:v>1.07189074</c:v>
                </c:pt>
                <c:pt idx="16">
                  <c:v>1.0138</c:v>
                </c:pt>
              </c:numCache>
            </c:numRef>
          </c:yVal>
        </c:ser>
        <c:axId val="170080512"/>
        <c:axId val="170094592"/>
      </c:scatterChart>
      <c:valAx>
        <c:axId val="170080512"/>
        <c:scaling>
          <c:orientation val="minMax"/>
        </c:scaling>
        <c:axPos val="b"/>
        <c:majorGridlines/>
        <c:numFmt formatCode="General" sourceLinked="1"/>
        <c:tickLblPos val="nextTo"/>
        <c:crossAx val="170094592"/>
        <c:crosses val="autoZero"/>
        <c:crossBetween val="midCat"/>
      </c:valAx>
      <c:valAx>
        <c:axId val="170094592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Residential Assessments</a:t>
                </a:r>
              </a:p>
            </c:rich>
          </c:tx>
        </c:title>
        <c:numFmt formatCode="0.00%" sourceLinked="1"/>
        <c:tickLblPos val="nextTo"/>
        <c:crossAx val="170080512"/>
        <c:crosses val="autoZero"/>
        <c:crossBetween val="midCat"/>
      </c:valAx>
    </c:plotArea>
    <c:legend>
      <c:legendPos val="r"/>
    </c:legend>
    <c:plotVisOnly val="1"/>
  </c:chart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scatterChart>
        <c:scatterStyle val="lineMarker"/>
        <c:ser>
          <c:idx val="0"/>
          <c:order val="0"/>
          <c:tx>
            <c:strRef>
              <c:f>Assessments!$A$35</c:f>
              <c:strCache>
                <c:ptCount val="1"/>
                <c:pt idx="0">
                  <c:v>Apartments </c:v>
                </c:pt>
              </c:strCache>
            </c:strRef>
          </c:tx>
          <c:marker>
            <c:symbol val="none"/>
          </c:marker>
          <c:xVal>
            <c:numRef>
              <c:f>Assessments!$C$34:$T$34</c:f>
              <c:numCache>
                <c:formatCode>General</c:formatCode>
                <c:ptCount val="18"/>
                <c:pt idx="0">
                  <c:v>2017</c:v>
                </c:pt>
                <c:pt idx="1">
                  <c:v>2016</c:v>
                </c:pt>
                <c:pt idx="2">
                  <c:v>2015</c:v>
                </c:pt>
                <c:pt idx="3">
                  <c:v>2014</c:v>
                </c:pt>
                <c:pt idx="4">
                  <c:v>2013</c:v>
                </c:pt>
                <c:pt idx="5">
                  <c:v>2012</c:v>
                </c:pt>
                <c:pt idx="6">
                  <c:v>2011</c:v>
                </c:pt>
                <c:pt idx="7">
                  <c:v>2010</c:v>
                </c:pt>
                <c:pt idx="8">
                  <c:v>2009</c:v>
                </c:pt>
                <c:pt idx="9">
                  <c:v>2008</c:v>
                </c:pt>
                <c:pt idx="10">
                  <c:v>2007</c:v>
                </c:pt>
                <c:pt idx="11">
                  <c:v>2006</c:v>
                </c:pt>
                <c:pt idx="12">
                  <c:v>2005</c:v>
                </c:pt>
                <c:pt idx="13">
                  <c:v>2004</c:v>
                </c:pt>
                <c:pt idx="14">
                  <c:v>2003</c:v>
                </c:pt>
                <c:pt idx="15">
                  <c:v>2002</c:v>
                </c:pt>
                <c:pt idx="16">
                  <c:v>2001</c:v>
                </c:pt>
              </c:numCache>
            </c:numRef>
          </c:xVal>
          <c:yVal>
            <c:numRef>
              <c:f>Assessments!$C$35:$T$35</c:f>
              <c:numCache>
                <c:formatCode>0.00%</c:formatCode>
                <c:ptCount val="18"/>
                <c:pt idx="0">
                  <c:v>2.4560993582209645</c:v>
                </c:pt>
                <c:pt idx="1">
                  <c:v>2.3864160107082828</c:v>
                </c:pt>
                <c:pt idx="2">
                  <c:v>2.3581185876564059</c:v>
                </c:pt>
                <c:pt idx="3">
                  <c:v>2.2763959722525398</c:v>
                </c:pt>
                <c:pt idx="4">
                  <c:v>2.1700628906125261</c:v>
                </c:pt>
                <c:pt idx="5">
                  <c:v>1.9272316968139667</c:v>
                </c:pt>
                <c:pt idx="6">
                  <c:v>1.6825839853448286</c:v>
                </c:pt>
                <c:pt idx="7">
                  <c:v>1.9271377681191486</c:v>
                </c:pt>
                <c:pt idx="8">
                  <c:v>2.0713002666800824</c:v>
                </c:pt>
                <c:pt idx="9">
                  <c:v>1.9465278326097946</c:v>
                </c:pt>
                <c:pt idx="10">
                  <c:v>1.5878357391384246</c:v>
                </c:pt>
                <c:pt idx="11">
                  <c:v>1.4221547148575231</c:v>
                </c:pt>
                <c:pt idx="12">
                  <c:v>1.2788011103835293</c:v>
                </c:pt>
                <c:pt idx="13">
                  <c:v>1.2554497451242188</c:v>
                </c:pt>
                <c:pt idx="14">
                  <c:v>1.208790434358</c:v>
                </c:pt>
                <c:pt idx="15">
                  <c:v>1.10301162</c:v>
                </c:pt>
                <c:pt idx="16">
                  <c:v>1.0354000000000001</c:v>
                </c:pt>
              </c:numCache>
            </c:numRef>
          </c:yVal>
        </c:ser>
        <c:ser>
          <c:idx val="1"/>
          <c:order val="1"/>
          <c:tx>
            <c:strRef>
              <c:f>Assessments!$A$36</c:f>
              <c:strCache>
                <c:ptCount val="1"/>
                <c:pt idx="0">
                  <c:v>Office Condominiums </c:v>
                </c:pt>
              </c:strCache>
            </c:strRef>
          </c:tx>
          <c:marker>
            <c:symbol val="none"/>
          </c:marker>
          <c:xVal>
            <c:numRef>
              <c:f>Assessments!$C$34:$T$34</c:f>
              <c:numCache>
                <c:formatCode>General</c:formatCode>
                <c:ptCount val="18"/>
                <c:pt idx="0">
                  <c:v>2017</c:v>
                </c:pt>
                <c:pt idx="1">
                  <c:v>2016</c:v>
                </c:pt>
                <c:pt idx="2">
                  <c:v>2015</c:v>
                </c:pt>
                <c:pt idx="3">
                  <c:v>2014</c:v>
                </c:pt>
                <c:pt idx="4">
                  <c:v>2013</c:v>
                </c:pt>
                <c:pt idx="5">
                  <c:v>2012</c:v>
                </c:pt>
                <c:pt idx="6">
                  <c:v>2011</c:v>
                </c:pt>
                <c:pt idx="7">
                  <c:v>2010</c:v>
                </c:pt>
                <c:pt idx="8">
                  <c:v>2009</c:v>
                </c:pt>
                <c:pt idx="9">
                  <c:v>2008</c:v>
                </c:pt>
                <c:pt idx="10">
                  <c:v>2007</c:v>
                </c:pt>
                <c:pt idx="11">
                  <c:v>2006</c:v>
                </c:pt>
                <c:pt idx="12">
                  <c:v>2005</c:v>
                </c:pt>
                <c:pt idx="13">
                  <c:v>2004</c:v>
                </c:pt>
                <c:pt idx="14">
                  <c:v>2003</c:v>
                </c:pt>
                <c:pt idx="15">
                  <c:v>2002</c:v>
                </c:pt>
                <c:pt idx="16">
                  <c:v>2001</c:v>
                </c:pt>
              </c:numCache>
            </c:numRef>
          </c:xVal>
          <c:yVal>
            <c:numRef>
              <c:f>Assessments!$C$36:$T$36</c:f>
              <c:numCache>
                <c:formatCode>0.00%</c:formatCode>
                <c:ptCount val="18"/>
                <c:pt idx="0">
                  <c:v>1.9845760580670617</c:v>
                </c:pt>
                <c:pt idx="1">
                  <c:v>1.9483369900520928</c:v>
                </c:pt>
                <c:pt idx="2">
                  <c:v>1.9371017996143296</c:v>
                </c:pt>
                <c:pt idx="3">
                  <c:v>1.9384587207188329</c:v>
                </c:pt>
                <c:pt idx="4">
                  <c:v>1.9513375485391915</c:v>
                </c:pt>
                <c:pt idx="5">
                  <c:v>1.9574055056065718</c:v>
                </c:pt>
                <c:pt idx="6">
                  <c:v>1.9878191384244661</c:v>
                </c:pt>
                <c:pt idx="7">
                  <c:v>2.1506211602558327</c:v>
                </c:pt>
                <c:pt idx="8">
                  <c:v>2.1745411124932588</c:v>
                </c:pt>
                <c:pt idx="9">
                  <c:v>2.0753398668574716</c:v>
                </c:pt>
                <c:pt idx="10">
                  <c:v>1.8243142289534737</c:v>
                </c:pt>
                <c:pt idx="11">
                  <c:v>1.789245026435341</c:v>
                </c:pt>
                <c:pt idx="12">
                  <c:v>1.5161808545338031</c:v>
                </c:pt>
                <c:pt idx="13">
                  <c:v>1.3347837437571999</c:v>
                </c:pt>
                <c:pt idx="14">
                  <c:v>1.1543576440000001</c:v>
                </c:pt>
                <c:pt idx="15">
                  <c:v>1.0713296000000001</c:v>
                </c:pt>
                <c:pt idx="16">
                  <c:v>1.0207999999999999</c:v>
                </c:pt>
              </c:numCache>
            </c:numRef>
          </c:yVal>
        </c:ser>
        <c:ser>
          <c:idx val="8"/>
          <c:order val="2"/>
          <c:tx>
            <c:strRef>
              <c:f>Assessments!$A$43</c:f>
              <c:strCache>
                <c:ptCount val="1"/>
                <c:pt idx="0">
                  <c:v>Other</c:v>
                </c:pt>
              </c:strCache>
            </c:strRef>
          </c:tx>
          <c:marker>
            <c:symbol val="none"/>
          </c:marker>
          <c:xVal>
            <c:numRef>
              <c:f>Assessments!$C$34:$T$34</c:f>
              <c:numCache>
                <c:formatCode>General</c:formatCode>
                <c:ptCount val="18"/>
                <c:pt idx="0">
                  <c:v>2017</c:v>
                </c:pt>
                <c:pt idx="1">
                  <c:v>2016</c:v>
                </c:pt>
                <c:pt idx="2">
                  <c:v>2015</c:v>
                </c:pt>
                <c:pt idx="3">
                  <c:v>2014</c:v>
                </c:pt>
                <c:pt idx="4">
                  <c:v>2013</c:v>
                </c:pt>
                <c:pt idx="5">
                  <c:v>2012</c:v>
                </c:pt>
                <c:pt idx="6">
                  <c:v>2011</c:v>
                </c:pt>
                <c:pt idx="7">
                  <c:v>2010</c:v>
                </c:pt>
                <c:pt idx="8">
                  <c:v>2009</c:v>
                </c:pt>
                <c:pt idx="9">
                  <c:v>2008</c:v>
                </c:pt>
                <c:pt idx="10">
                  <c:v>2007</c:v>
                </c:pt>
                <c:pt idx="11">
                  <c:v>2006</c:v>
                </c:pt>
                <c:pt idx="12">
                  <c:v>2005</c:v>
                </c:pt>
                <c:pt idx="13">
                  <c:v>2004</c:v>
                </c:pt>
                <c:pt idx="14">
                  <c:v>2003</c:v>
                </c:pt>
                <c:pt idx="15">
                  <c:v>2002</c:v>
                </c:pt>
                <c:pt idx="16">
                  <c:v>2001</c:v>
                </c:pt>
              </c:numCache>
            </c:numRef>
          </c:xVal>
          <c:yVal>
            <c:numRef>
              <c:f>Assessments!$C$43:$T$43</c:f>
              <c:numCache>
                <c:formatCode>0.00%</c:formatCode>
                <c:ptCount val="18"/>
                <c:pt idx="0">
                  <c:v>1.8434864270962275</c:v>
                </c:pt>
                <c:pt idx="1">
                  <c:v>1.7777111158112127</c:v>
                </c:pt>
                <c:pt idx="2">
                  <c:v>1.6888762263074413</c:v>
                </c:pt>
                <c:pt idx="3">
                  <c:v>1.6497765227190009</c:v>
                </c:pt>
                <c:pt idx="4">
                  <c:v>1.6306973635652871</c:v>
                </c:pt>
                <c:pt idx="5">
                  <c:v>1.579062035020129</c:v>
                </c:pt>
                <c:pt idx="6">
                  <c:v>1.5425046742406261</c:v>
                </c:pt>
                <c:pt idx="7">
                  <c:v>1.7697391856822235</c:v>
                </c:pt>
                <c:pt idx="8">
                  <c:v>1.8071471313001364</c:v>
                </c:pt>
                <c:pt idx="9">
                  <c:v>1.6790366359752265</c:v>
                </c:pt>
                <c:pt idx="10">
                  <c:v>1.5257034402319185</c:v>
                </c:pt>
                <c:pt idx="11">
                  <c:v>1.3599281934503242</c:v>
                </c:pt>
                <c:pt idx="12">
                  <c:v>1.2531590429877666</c:v>
                </c:pt>
                <c:pt idx="13">
                  <c:v>1.1917822567643999</c:v>
                </c:pt>
                <c:pt idx="14">
                  <c:v>1.1243228837399999</c:v>
                </c:pt>
                <c:pt idx="15">
                  <c:v>1.0913636999999998</c:v>
                </c:pt>
                <c:pt idx="16">
                  <c:v>1.0262</c:v>
                </c:pt>
              </c:numCache>
            </c:numRef>
          </c:yVal>
        </c:ser>
        <c:ser>
          <c:idx val="2"/>
          <c:order val="3"/>
          <c:tx>
            <c:strRef>
              <c:f>Assessments!$A$37</c:f>
              <c:strCache>
                <c:ptCount val="1"/>
                <c:pt idx="0">
                  <c:v>Industrial </c:v>
                </c:pt>
              </c:strCache>
            </c:strRef>
          </c:tx>
          <c:marker>
            <c:symbol val="none"/>
          </c:marker>
          <c:xVal>
            <c:numRef>
              <c:f>Assessments!$C$34:$T$34</c:f>
              <c:numCache>
                <c:formatCode>General</c:formatCode>
                <c:ptCount val="18"/>
                <c:pt idx="0">
                  <c:v>2017</c:v>
                </c:pt>
                <c:pt idx="1">
                  <c:v>2016</c:v>
                </c:pt>
                <c:pt idx="2">
                  <c:v>2015</c:v>
                </c:pt>
                <c:pt idx="3">
                  <c:v>2014</c:v>
                </c:pt>
                <c:pt idx="4">
                  <c:v>2013</c:v>
                </c:pt>
                <c:pt idx="5">
                  <c:v>2012</c:v>
                </c:pt>
                <c:pt idx="6">
                  <c:v>2011</c:v>
                </c:pt>
                <c:pt idx="7">
                  <c:v>2010</c:v>
                </c:pt>
                <c:pt idx="8">
                  <c:v>2009</c:v>
                </c:pt>
                <c:pt idx="9">
                  <c:v>2008</c:v>
                </c:pt>
                <c:pt idx="10">
                  <c:v>2007</c:v>
                </c:pt>
                <c:pt idx="11">
                  <c:v>2006</c:v>
                </c:pt>
                <c:pt idx="12">
                  <c:v>2005</c:v>
                </c:pt>
                <c:pt idx="13">
                  <c:v>2004</c:v>
                </c:pt>
                <c:pt idx="14">
                  <c:v>2003</c:v>
                </c:pt>
                <c:pt idx="15">
                  <c:v>2002</c:v>
                </c:pt>
                <c:pt idx="16">
                  <c:v>2001</c:v>
                </c:pt>
              </c:numCache>
            </c:numRef>
          </c:xVal>
          <c:yVal>
            <c:numRef>
              <c:f>Assessments!$C$37:$T$37</c:f>
              <c:numCache>
                <c:formatCode>0.00%</c:formatCode>
                <c:ptCount val="18"/>
                <c:pt idx="0">
                  <c:v>1.8348518693825042</c:v>
                </c:pt>
                <c:pt idx="1">
                  <c:v>1.7079511024690535</c:v>
                </c:pt>
                <c:pt idx="2">
                  <c:v>1.6138628956525121</c:v>
                </c:pt>
                <c:pt idx="3">
                  <c:v>1.5857943359069588</c:v>
                </c:pt>
                <c:pt idx="4">
                  <c:v>1.5749273372797288</c:v>
                </c:pt>
                <c:pt idx="5">
                  <c:v>1.4753417679435399</c:v>
                </c:pt>
                <c:pt idx="6">
                  <c:v>1.4799295495471361</c:v>
                </c:pt>
                <c:pt idx="7">
                  <c:v>1.9340427986763409</c:v>
                </c:pt>
                <c:pt idx="8">
                  <c:v>1.9551585105907208</c:v>
                </c:pt>
                <c:pt idx="9">
                  <c:v>1.7138486242906037</c:v>
                </c:pt>
                <c:pt idx="10">
                  <c:v>1.4989055661103758</c:v>
                </c:pt>
                <c:pt idx="11">
                  <c:v>1.3310590232753536</c:v>
                </c:pt>
                <c:pt idx="12">
                  <c:v>1.222388670470524</c:v>
                </c:pt>
                <c:pt idx="13">
                  <c:v>1.1613040760692799</c:v>
                </c:pt>
                <c:pt idx="14">
                  <c:v>1.1764806767999998</c:v>
                </c:pt>
                <c:pt idx="15">
                  <c:v>1.1525084999999999</c:v>
                </c:pt>
                <c:pt idx="16">
                  <c:v>1.0746</c:v>
                </c:pt>
              </c:numCache>
            </c:numRef>
          </c:yVal>
        </c:ser>
        <c:ser>
          <c:idx val="9"/>
          <c:order val="4"/>
          <c:tx>
            <c:strRef>
              <c:f>Assessments!$A$44</c:f>
              <c:strCache>
                <c:ptCount val="1"/>
                <c:pt idx="0">
                  <c:v>Cumulative non-residential equalization</c:v>
                </c:pt>
              </c:strCache>
            </c:strRef>
          </c:tx>
          <c:marker>
            <c:symbol val="none"/>
          </c:marker>
          <c:xVal>
            <c:numRef>
              <c:f>Assessments!$C$34:$T$34</c:f>
              <c:numCache>
                <c:formatCode>General</c:formatCode>
                <c:ptCount val="18"/>
                <c:pt idx="0">
                  <c:v>2017</c:v>
                </c:pt>
                <c:pt idx="1">
                  <c:v>2016</c:v>
                </c:pt>
                <c:pt idx="2">
                  <c:v>2015</c:v>
                </c:pt>
                <c:pt idx="3">
                  <c:v>2014</c:v>
                </c:pt>
                <c:pt idx="4">
                  <c:v>2013</c:v>
                </c:pt>
                <c:pt idx="5">
                  <c:v>2012</c:v>
                </c:pt>
                <c:pt idx="6">
                  <c:v>2011</c:v>
                </c:pt>
                <c:pt idx="7">
                  <c:v>2010</c:v>
                </c:pt>
                <c:pt idx="8">
                  <c:v>2009</c:v>
                </c:pt>
                <c:pt idx="9">
                  <c:v>2008</c:v>
                </c:pt>
                <c:pt idx="10">
                  <c:v>2007</c:v>
                </c:pt>
                <c:pt idx="11">
                  <c:v>2006</c:v>
                </c:pt>
                <c:pt idx="12">
                  <c:v>2005</c:v>
                </c:pt>
                <c:pt idx="13">
                  <c:v>2004</c:v>
                </c:pt>
                <c:pt idx="14">
                  <c:v>2003</c:v>
                </c:pt>
                <c:pt idx="15">
                  <c:v>2002</c:v>
                </c:pt>
                <c:pt idx="16">
                  <c:v>2001</c:v>
                </c:pt>
              </c:numCache>
            </c:numRef>
          </c:xVal>
          <c:yVal>
            <c:numRef>
              <c:f>Assessments!$C$44:$T$44</c:f>
              <c:numCache>
                <c:formatCode>0.00%</c:formatCode>
                <c:ptCount val="18"/>
                <c:pt idx="0">
                  <c:v>1.7115758885690027</c:v>
                </c:pt>
                <c:pt idx="1">
                  <c:v>1.6638241358695467</c:v>
                </c:pt>
                <c:pt idx="2">
                  <c:v>1.6738673399090007</c:v>
                </c:pt>
                <c:pt idx="3">
                  <c:v>1.6755428827917924</c:v>
                </c:pt>
                <c:pt idx="4">
                  <c:v>1.6732004022286722</c:v>
                </c:pt>
                <c:pt idx="5">
                  <c:v>1.546253028582083</c:v>
                </c:pt>
                <c:pt idx="6">
                  <c:v>1.4906517194467201</c:v>
                </c:pt>
                <c:pt idx="7">
                  <c:v>1.8243198132991312</c:v>
                </c:pt>
                <c:pt idx="8">
                  <c:v>1.9104825775464773</c:v>
                </c:pt>
                <c:pt idx="9">
                  <c:v>1.785497736024745</c:v>
                </c:pt>
                <c:pt idx="10">
                  <c:v>1.5721561468915604</c:v>
                </c:pt>
                <c:pt idx="11">
                  <c:v>1.3478704963062076</c:v>
                </c:pt>
                <c:pt idx="12">
                  <c:v>1.1955565871085752</c:v>
                </c:pt>
                <c:pt idx="13">
                  <c:v>1.1524547783965442</c:v>
                </c:pt>
                <c:pt idx="14">
                  <c:v>1.1195402937600001</c:v>
                </c:pt>
                <c:pt idx="15">
                  <c:v>1.1137488</c:v>
                </c:pt>
                <c:pt idx="16">
                  <c:v>1.0515000000000001</c:v>
                </c:pt>
              </c:numCache>
            </c:numRef>
          </c:yVal>
        </c:ser>
        <c:ser>
          <c:idx val="3"/>
          <c:order val="5"/>
          <c:tx>
            <c:strRef>
              <c:f>Assessments!$A$38</c:f>
              <c:strCache>
                <c:ptCount val="1"/>
                <c:pt idx="0">
                  <c:v>Retail</c:v>
                </c:pt>
              </c:strCache>
            </c:strRef>
          </c:tx>
          <c:marker>
            <c:symbol val="none"/>
          </c:marker>
          <c:xVal>
            <c:numRef>
              <c:f>Assessments!$C$34:$T$34</c:f>
              <c:numCache>
                <c:formatCode>General</c:formatCode>
                <c:ptCount val="18"/>
                <c:pt idx="0">
                  <c:v>2017</c:v>
                </c:pt>
                <c:pt idx="1">
                  <c:v>2016</c:v>
                </c:pt>
                <c:pt idx="2">
                  <c:v>2015</c:v>
                </c:pt>
                <c:pt idx="3">
                  <c:v>2014</c:v>
                </c:pt>
                <c:pt idx="4">
                  <c:v>2013</c:v>
                </c:pt>
                <c:pt idx="5">
                  <c:v>2012</c:v>
                </c:pt>
                <c:pt idx="6">
                  <c:v>2011</c:v>
                </c:pt>
                <c:pt idx="7">
                  <c:v>2010</c:v>
                </c:pt>
                <c:pt idx="8">
                  <c:v>2009</c:v>
                </c:pt>
                <c:pt idx="9">
                  <c:v>2008</c:v>
                </c:pt>
                <c:pt idx="10">
                  <c:v>2007</c:v>
                </c:pt>
                <c:pt idx="11">
                  <c:v>2006</c:v>
                </c:pt>
                <c:pt idx="12">
                  <c:v>2005</c:v>
                </c:pt>
                <c:pt idx="13">
                  <c:v>2004</c:v>
                </c:pt>
                <c:pt idx="14">
                  <c:v>2003</c:v>
                </c:pt>
                <c:pt idx="15">
                  <c:v>2002</c:v>
                </c:pt>
                <c:pt idx="16">
                  <c:v>2001</c:v>
                </c:pt>
              </c:numCache>
            </c:numRef>
          </c:xVal>
          <c:yVal>
            <c:numRef>
              <c:f>Assessments!$C$38:$T$38</c:f>
              <c:numCache>
                <c:formatCode>0.00%</c:formatCode>
                <c:ptCount val="18"/>
                <c:pt idx="0">
                  <c:v>1.6857170796437968</c:v>
                </c:pt>
                <c:pt idx="1">
                  <c:v>1.659170353980115</c:v>
                </c:pt>
                <c:pt idx="2">
                  <c:v>1.6193347198712815</c:v>
                </c:pt>
                <c:pt idx="3">
                  <c:v>1.5950893615753363</c:v>
                </c:pt>
                <c:pt idx="4">
                  <c:v>1.576486817133165</c:v>
                </c:pt>
                <c:pt idx="5">
                  <c:v>1.4711523116210945</c:v>
                </c:pt>
                <c:pt idx="6">
                  <c:v>1.4437216011983265</c:v>
                </c:pt>
                <c:pt idx="7">
                  <c:v>1.72014964994439</c:v>
                </c:pt>
                <c:pt idx="8">
                  <c:v>1.7506102686183493</c:v>
                </c:pt>
                <c:pt idx="9">
                  <c:v>1.6442286734463694</c:v>
                </c:pt>
                <c:pt idx="10">
                  <c:v>1.5115174420356401</c:v>
                </c:pt>
                <c:pt idx="11">
                  <c:v>1.3035941716564383</c:v>
                </c:pt>
                <c:pt idx="12">
                  <c:v>1.186811882425745</c:v>
                </c:pt>
                <c:pt idx="13">
                  <c:v>1.1078699227580691</c:v>
                </c:pt>
                <c:pt idx="14">
                  <c:v>1.0698326251558561</c:v>
                </c:pt>
                <c:pt idx="15">
                  <c:v>1.0523719683554498</c:v>
                </c:pt>
                <c:pt idx="16">
                  <c:v>1.024328402366864</c:v>
                </c:pt>
              </c:numCache>
            </c:numRef>
          </c:yVal>
        </c:ser>
        <c:ser>
          <c:idx val="5"/>
          <c:order val="6"/>
          <c:tx>
            <c:strRef>
              <c:f>Assessments!$A$40</c:f>
              <c:strCache>
                <c:ptCount val="1"/>
                <c:pt idx="0">
                  <c:v>Office - Low Rise </c:v>
                </c:pt>
              </c:strCache>
            </c:strRef>
          </c:tx>
          <c:marker>
            <c:symbol val="none"/>
          </c:marker>
          <c:xVal>
            <c:numRef>
              <c:f>Assessments!$C$34:$T$34</c:f>
              <c:numCache>
                <c:formatCode>General</c:formatCode>
                <c:ptCount val="18"/>
                <c:pt idx="0">
                  <c:v>2017</c:v>
                </c:pt>
                <c:pt idx="1">
                  <c:v>2016</c:v>
                </c:pt>
                <c:pt idx="2">
                  <c:v>2015</c:v>
                </c:pt>
                <c:pt idx="3">
                  <c:v>2014</c:v>
                </c:pt>
                <c:pt idx="4">
                  <c:v>2013</c:v>
                </c:pt>
                <c:pt idx="5">
                  <c:v>2012</c:v>
                </c:pt>
                <c:pt idx="6">
                  <c:v>2011</c:v>
                </c:pt>
                <c:pt idx="7">
                  <c:v>2010</c:v>
                </c:pt>
                <c:pt idx="8">
                  <c:v>2009</c:v>
                </c:pt>
                <c:pt idx="9">
                  <c:v>2008</c:v>
                </c:pt>
                <c:pt idx="10">
                  <c:v>2007</c:v>
                </c:pt>
                <c:pt idx="11">
                  <c:v>2006</c:v>
                </c:pt>
                <c:pt idx="12">
                  <c:v>2005</c:v>
                </c:pt>
                <c:pt idx="13">
                  <c:v>2004</c:v>
                </c:pt>
                <c:pt idx="14">
                  <c:v>2003</c:v>
                </c:pt>
                <c:pt idx="15">
                  <c:v>2002</c:v>
                </c:pt>
                <c:pt idx="16">
                  <c:v>2001</c:v>
                </c:pt>
              </c:numCache>
            </c:numRef>
          </c:xVal>
          <c:yVal>
            <c:numRef>
              <c:f>Assessments!$C$40:$T$40</c:f>
              <c:numCache>
                <c:formatCode>0.00%</c:formatCode>
                <c:ptCount val="18"/>
                <c:pt idx="0">
                  <c:v>1.4687189262517644</c:v>
                </c:pt>
                <c:pt idx="1">
                  <c:v>1.4437421864265843</c:v>
                </c:pt>
                <c:pt idx="2">
                  <c:v>1.5197286172911413</c:v>
                </c:pt>
                <c:pt idx="3">
                  <c:v>1.557258548305299</c:v>
                </c:pt>
                <c:pt idx="4">
                  <c:v>1.5845121574127992</c:v>
                </c:pt>
                <c:pt idx="5">
                  <c:v>1.4783655135405851</c:v>
                </c:pt>
                <c:pt idx="6">
                  <c:v>1.4711568450000849</c:v>
                </c:pt>
                <c:pt idx="7">
                  <c:v>1.9321734239559825</c:v>
                </c:pt>
                <c:pt idx="8">
                  <c:v>1.9991447738809958</c:v>
                </c:pt>
                <c:pt idx="9">
                  <c:v>1.8313894960434187</c:v>
                </c:pt>
                <c:pt idx="10">
                  <c:v>1.6621796115841523</c:v>
                </c:pt>
                <c:pt idx="11">
                  <c:v>1.3411163559659127</c:v>
                </c:pt>
                <c:pt idx="12">
                  <c:v>1.1407930894572242</c:v>
                </c:pt>
                <c:pt idx="13">
                  <c:v>1.0821410448275699</c:v>
                </c:pt>
                <c:pt idx="14">
                  <c:v>1.1545300808999999</c:v>
                </c:pt>
                <c:pt idx="15">
                  <c:v>1.1379165</c:v>
                </c:pt>
                <c:pt idx="16">
                  <c:v>1.0605</c:v>
                </c:pt>
              </c:numCache>
            </c:numRef>
          </c:yVal>
        </c:ser>
        <c:ser>
          <c:idx val="4"/>
          <c:order val="7"/>
          <c:tx>
            <c:strRef>
              <c:f>Assessments!$A$39</c:f>
              <c:strCache>
                <c:ptCount val="1"/>
                <c:pt idx="0">
                  <c:v>Office Elevator </c:v>
                </c:pt>
              </c:strCache>
            </c:strRef>
          </c:tx>
          <c:marker>
            <c:symbol val="none"/>
          </c:marker>
          <c:xVal>
            <c:numRef>
              <c:f>Assessments!$C$34:$T$34</c:f>
              <c:numCache>
                <c:formatCode>General</c:formatCode>
                <c:ptCount val="18"/>
                <c:pt idx="0">
                  <c:v>2017</c:v>
                </c:pt>
                <c:pt idx="1">
                  <c:v>2016</c:v>
                </c:pt>
                <c:pt idx="2">
                  <c:v>2015</c:v>
                </c:pt>
                <c:pt idx="3">
                  <c:v>2014</c:v>
                </c:pt>
                <c:pt idx="4">
                  <c:v>2013</c:v>
                </c:pt>
                <c:pt idx="5">
                  <c:v>2012</c:v>
                </c:pt>
                <c:pt idx="6">
                  <c:v>2011</c:v>
                </c:pt>
                <c:pt idx="7">
                  <c:v>2010</c:v>
                </c:pt>
                <c:pt idx="8">
                  <c:v>2009</c:v>
                </c:pt>
                <c:pt idx="9">
                  <c:v>2008</c:v>
                </c:pt>
                <c:pt idx="10">
                  <c:v>2007</c:v>
                </c:pt>
                <c:pt idx="11">
                  <c:v>2006</c:v>
                </c:pt>
                <c:pt idx="12">
                  <c:v>2005</c:v>
                </c:pt>
                <c:pt idx="13">
                  <c:v>2004</c:v>
                </c:pt>
                <c:pt idx="14">
                  <c:v>2003</c:v>
                </c:pt>
                <c:pt idx="15">
                  <c:v>2002</c:v>
                </c:pt>
                <c:pt idx="16">
                  <c:v>2001</c:v>
                </c:pt>
              </c:numCache>
            </c:numRef>
          </c:xVal>
          <c:yVal>
            <c:numRef>
              <c:f>Assessments!$C$39:$T$39</c:f>
              <c:numCache>
                <c:formatCode>0.00%</c:formatCode>
                <c:ptCount val="18"/>
                <c:pt idx="0">
                  <c:v>1.383546110447766</c:v>
                </c:pt>
                <c:pt idx="1">
                  <c:v>1.3377935703420674</c:v>
                </c:pt>
                <c:pt idx="2">
                  <c:v>1.4033290363391036</c:v>
                </c:pt>
                <c:pt idx="3">
                  <c:v>1.4456876855249856</c:v>
                </c:pt>
                <c:pt idx="4">
                  <c:v>1.4813891643867052</c:v>
                </c:pt>
                <c:pt idx="5">
                  <c:v>1.3305093985869456</c:v>
                </c:pt>
                <c:pt idx="6">
                  <c:v>1.3059573994767821</c:v>
                </c:pt>
                <c:pt idx="7">
                  <c:v>1.7254028266307069</c:v>
                </c:pt>
                <c:pt idx="8">
                  <c:v>1.8477220246634258</c:v>
                </c:pt>
                <c:pt idx="9">
                  <c:v>1.7484122110744</c:v>
                </c:pt>
                <c:pt idx="10">
                  <c:v>1.5081620038595704</c:v>
                </c:pt>
                <c:pt idx="11">
                  <c:v>1.2146923355827726</c:v>
                </c:pt>
                <c:pt idx="12">
                  <c:v>1.0223822368342501</c:v>
                </c:pt>
                <c:pt idx="13">
                  <c:v>0.99000894435387832</c:v>
                </c:pt>
                <c:pt idx="14">
                  <c:v>1.1090052025919999</c:v>
                </c:pt>
                <c:pt idx="15">
                  <c:v>1.1372079599999998</c:v>
                </c:pt>
                <c:pt idx="16">
                  <c:v>1.0673999999999999</c:v>
                </c:pt>
              </c:numCache>
            </c:numRef>
          </c:yVal>
        </c:ser>
        <c:ser>
          <c:idx val="6"/>
          <c:order val="8"/>
          <c:tx>
            <c:strRef>
              <c:f>Assessments!$A$41</c:f>
              <c:strCache>
                <c:ptCount val="1"/>
                <c:pt idx="0">
                  <c:v>Vacant Land </c:v>
                </c:pt>
              </c:strCache>
            </c:strRef>
          </c:tx>
          <c:marker>
            <c:symbol val="none"/>
          </c:marker>
          <c:xVal>
            <c:numRef>
              <c:f>Assessments!$C$34:$T$34</c:f>
              <c:numCache>
                <c:formatCode>General</c:formatCode>
                <c:ptCount val="18"/>
                <c:pt idx="0">
                  <c:v>2017</c:v>
                </c:pt>
                <c:pt idx="1">
                  <c:v>2016</c:v>
                </c:pt>
                <c:pt idx="2">
                  <c:v>2015</c:v>
                </c:pt>
                <c:pt idx="3">
                  <c:v>2014</c:v>
                </c:pt>
                <c:pt idx="4">
                  <c:v>2013</c:v>
                </c:pt>
                <c:pt idx="5">
                  <c:v>2012</c:v>
                </c:pt>
                <c:pt idx="6">
                  <c:v>2011</c:v>
                </c:pt>
                <c:pt idx="7">
                  <c:v>2010</c:v>
                </c:pt>
                <c:pt idx="8">
                  <c:v>2009</c:v>
                </c:pt>
                <c:pt idx="9">
                  <c:v>2008</c:v>
                </c:pt>
                <c:pt idx="10">
                  <c:v>2007</c:v>
                </c:pt>
                <c:pt idx="11">
                  <c:v>2006</c:v>
                </c:pt>
                <c:pt idx="12">
                  <c:v>2005</c:v>
                </c:pt>
                <c:pt idx="13">
                  <c:v>2004</c:v>
                </c:pt>
                <c:pt idx="14">
                  <c:v>2003</c:v>
                </c:pt>
                <c:pt idx="15">
                  <c:v>2002</c:v>
                </c:pt>
                <c:pt idx="16">
                  <c:v>2001</c:v>
                </c:pt>
              </c:numCache>
            </c:numRef>
          </c:xVal>
          <c:yVal>
            <c:numRef>
              <c:f>Assessments!$C$41:$T$41</c:f>
              <c:numCache>
                <c:formatCode>0.00%</c:formatCode>
                <c:ptCount val="18"/>
                <c:pt idx="0">
                  <c:v>1.2546609999281888</c:v>
                </c:pt>
                <c:pt idx="1">
                  <c:v>1.2361192117519102</c:v>
                </c:pt>
                <c:pt idx="2">
                  <c:v>1.2959941410693125</c:v>
                </c:pt>
                <c:pt idx="3">
                  <c:v>1.3116022073366183</c:v>
                </c:pt>
                <c:pt idx="4">
                  <c:v>1.3213804224628432</c:v>
                </c:pt>
                <c:pt idx="5">
                  <c:v>1.2953440079039733</c:v>
                </c:pt>
                <c:pt idx="6">
                  <c:v>1.3227244030470473</c:v>
                </c:pt>
                <c:pt idx="7">
                  <c:v>1.800359878926157</c:v>
                </c:pt>
                <c:pt idx="8">
                  <c:v>1.8728387380902496</c:v>
                </c:pt>
                <c:pt idx="9">
                  <c:v>1.7394248519459921</c:v>
                </c:pt>
                <c:pt idx="10">
                  <c:v>1.5126748864649031</c:v>
                </c:pt>
                <c:pt idx="11">
                  <c:v>1.2411182199416666</c:v>
                </c:pt>
                <c:pt idx="12">
                  <c:v>1.1275717452000242</c:v>
                </c:pt>
                <c:pt idx="13">
                  <c:v>1.0523301401773442</c:v>
                </c:pt>
                <c:pt idx="14">
                  <c:v>1.1260889675520003</c:v>
                </c:pt>
                <c:pt idx="15">
                  <c:v>1.1269905600000003</c:v>
                </c:pt>
                <c:pt idx="16">
                  <c:v>1.0596000000000001</c:v>
                </c:pt>
              </c:numCache>
            </c:numRef>
          </c:yVal>
        </c:ser>
        <c:ser>
          <c:idx val="7"/>
          <c:order val="9"/>
          <c:tx>
            <c:strRef>
              <c:f>Assessments!$A$42</c:f>
              <c:strCache>
                <c:ptCount val="1"/>
                <c:pt idx="0">
                  <c:v>Hotels</c:v>
                </c:pt>
              </c:strCache>
            </c:strRef>
          </c:tx>
          <c:marker>
            <c:symbol val="none"/>
          </c:marker>
          <c:xVal>
            <c:numRef>
              <c:f>Assessments!$C$34:$T$34</c:f>
              <c:numCache>
                <c:formatCode>General</c:formatCode>
                <c:ptCount val="18"/>
                <c:pt idx="0">
                  <c:v>2017</c:v>
                </c:pt>
                <c:pt idx="1">
                  <c:v>2016</c:v>
                </c:pt>
                <c:pt idx="2">
                  <c:v>2015</c:v>
                </c:pt>
                <c:pt idx="3">
                  <c:v>2014</c:v>
                </c:pt>
                <c:pt idx="4">
                  <c:v>2013</c:v>
                </c:pt>
                <c:pt idx="5">
                  <c:v>2012</c:v>
                </c:pt>
                <c:pt idx="6">
                  <c:v>2011</c:v>
                </c:pt>
                <c:pt idx="7">
                  <c:v>2010</c:v>
                </c:pt>
                <c:pt idx="8">
                  <c:v>2009</c:v>
                </c:pt>
                <c:pt idx="9">
                  <c:v>2008</c:v>
                </c:pt>
                <c:pt idx="10">
                  <c:v>2007</c:v>
                </c:pt>
                <c:pt idx="11">
                  <c:v>2006</c:v>
                </c:pt>
                <c:pt idx="12">
                  <c:v>2005</c:v>
                </c:pt>
                <c:pt idx="13">
                  <c:v>2004</c:v>
                </c:pt>
                <c:pt idx="14">
                  <c:v>2003</c:v>
                </c:pt>
                <c:pt idx="15">
                  <c:v>2002</c:v>
                </c:pt>
                <c:pt idx="16">
                  <c:v>2001</c:v>
                </c:pt>
              </c:numCache>
            </c:numRef>
          </c:xVal>
          <c:yVal>
            <c:numRef>
              <c:f>Assessments!$C$42:$T$42</c:f>
              <c:numCache>
                <c:formatCode>0.00%</c:formatCode>
                <c:ptCount val="18"/>
                <c:pt idx="0">
                  <c:v>1.1258611734248614</c:v>
                </c:pt>
                <c:pt idx="1">
                  <c:v>1.0866336969644448</c:v>
                </c:pt>
                <c:pt idx="2">
                  <c:v>1.0838157759469826</c:v>
                </c:pt>
                <c:pt idx="3">
                  <c:v>1.1387011724595322</c:v>
                </c:pt>
                <c:pt idx="4">
                  <c:v>1.1854061757854801</c:v>
                </c:pt>
                <c:pt idx="5">
                  <c:v>1.1412401807889478</c:v>
                </c:pt>
                <c:pt idx="6">
                  <c:v>1.0249126006187228</c:v>
                </c:pt>
                <c:pt idx="7">
                  <c:v>1.5536040633905153</c:v>
                </c:pt>
                <c:pt idx="8">
                  <c:v>1.6716204684640792</c:v>
                </c:pt>
                <c:pt idx="9">
                  <c:v>1.5021751154421992</c:v>
                </c:pt>
                <c:pt idx="10">
                  <c:v>1.3708478877917494</c:v>
                </c:pt>
                <c:pt idx="11">
                  <c:v>1.091961038546877</c:v>
                </c:pt>
                <c:pt idx="12">
                  <c:v>0.94673230323120949</c:v>
                </c:pt>
                <c:pt idx="13">
                  <c:v>0.90613734995330164</c:v>
                </c:pt>
                <c:pt idx="14">
                  <c:v>0.96634035400800011</c:v>
                </c:pt>
                <c:pt idx="15">
                  <c:v>1.1421112800000002</c:v>
                </c:pt>
                <c:pt idx="16">
                  <c:v>1.0716000000000001</c:v>
                </c:pt>
              </c:numCache>
            </c:numRef>
          </c:yVal>
        </c:ser>
        <c:axId val="169155200"/>
        <c:axId val="169169280"/>
      </c:scatterChart>
      <c:valAx>
        <c:axId val="169155200"/>
        <c:scaling>
          <c:orientation val="minMax"/>
        </c:scaling>
        <c:axPos val="b"/>
        <c:majorGridlines/>
        <c:numFmt formatCode="General" sourceLinked="1"/>
        <c:tickLblPos val="nextTo"/>
        <c:crossAx val="169169280"/>
        <c:crosses val="autoZero"/>
        <c:crossBetween val="midCat"/>
      </c:valAx>
      <c:valAx>
        <c:axId val="169169280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Non-Residential Assessments</a:t>
                </a:r>
              </a:p>
            </c:rich>
          </c:tx>
          <c:layout/>
        </c:title>
        <c:numFmt formatCode="0.00%" sourceLinked="1"/>
        <c:tickLblPos val="nextTo"/>
        <c:crossAx val="169155200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64966666666666661"/>
          <c:y val="5.0602208243522732E-2"/>
          <c:w val="0.33366666666666822"/>
          <c:h val="0.84292966172524519"/>
        </c:manualLayout>
      </c:layout>
    </c:legend>
    <c:plotVisOnly val="1"/>
  </c:chart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/>
      <c:scatterChart>
        <c:scatterStyle val="lineMarker"/>
        <c:ser>
          <c:idx val="11"/>
          <c:order val="0"/>
          <c:tx>
            <c:strRef>
              <c:f>Assessments!$A$46</c:f>
              <c:strCache>
                <c:ptCount val="1"/>
                <c:pt idx="0">
                  <c:v>Commercial/Industrial assessments as a ratio to the total assessed value of all real estate (Pg 107 in 2017)</c:v>
                </c:pt>
              </c:strCache>
            </c:strRef>
          </c:tx>
          <c:marker>
            <c:symbol val="none"/>
          </c:marker>
          <c:xVal>
            <c:numRef>
              <c:f>Assessments!$C$34:$T$34</c:f>
              <c:numCache>
                <c:formatCode>General</c:formatCode>
                <c:ptCount val="18"/>
                <c:pt idx="0">
                  <c:v>2017</c:v>
                </c:pt>
                <c:pt idx="1">
                  <c:v>2016</c:v>
                </c:pt>
                <c:pt idx="2">
                  <c:v>2015</c:v>
                </c:pt>
                <c:pt idx="3">
                  <c:v>2014</c:v>
                </c:pt>
                <c:pt idx="4">
                  <c:v>2013</c:v>
                </c:pt>
                <c:pt idx="5">
                  <c:v>2012</c:v>
                </c:pt>
                <c:pt idx="6">
                  <c:v>2011</c:v>
                </c:pt>
                <c:pt idx="7">
                  <c:v>2010</c:v>
                </c:pt>
                <c:pt idx="8">
                  <c:v>2009</c:v>
                </c:pt>
                <c:pt idx="9">
                  <c:v>2008</c:v>
                </c:pt>
                <c:pt idx="10">
                  <c:v>2007</c:v>
                </c:pt>
                <c:pt idx="11">
                  <c:v>2006</c:v>
                </c:pt>
                <c:pt idx="12">
                  <c:v>2005</c:v>
                </c:pt>
                <c:pt idx="13">
                  <c:v>2004</c:v>
                </c:pt>
                <c:pt idx="14">
                  <c:v>2003</c:v>
                </c:pt>
                <c:pt idx="15">
                  <c:v>2002</c:v>
                </c:pt>
                <c:pt idx="16">
                  <c:v>2001</c:v>
                </c:pt>
              </c:numCache>
            </c:numRef>
          </c:xVal>
          <c:yVal>
            <c:numRef>
              <c:f>Assessments!$C$46:$T$46</c:f>
              <c:numCache>
                <c:formatCode>0.0%</c:formatCode>
                <c:ptCount val="18"/>
                <c:pt idx="0">
                  <c:v>0.18890000000000001</c:v>
                </c:pt>
                <c:pt idx="1">
                  <c:v>0.1867</c:v>
                </c:pt>
                <c:pt idx="2">
                  <c:v>0.19009999999999999</c:v>
                </c:pt>
                <c:pt idx="3">
                  <c:v>0.2</c:v>
                </c:pt>
                <c:pt idx="4">
                  <c:v>0.20499999999999999</c:v>
                </c:pt>
                <c:pt idx="5">
                  <c:v>0.19600000000000001</c:v>
                </c:pt>
                <c:pt idx="6">
                  <c:v>0.19700000000000001</c:v>
                </c:pt>
                <c:pt idx="7">
                  <c:v>0.22700000000000001</c:v>
                </c:pt>
                <c:pt idx="8">
                  <c:v>0.21099999999999999</c:v>
                </c:pt>
                <c:pt idx="9">
                  <c:v>0.192</c:v>
                </c:pt>
                <c:pt idx="10">
                  <c:v>0.17199999999999999</c:v>
                </c:pt>
                <c:pt idx="11">
                  <c:v>0.17399999999999999</c:v>
                </c:pt>
                <c:pt idx="12">
                  <c:v>0.182</c:v>
                </c:pt>
                <c:pt idx="13">
                  <c:v>0.191</c:v>
                </c:pt>
                <c:pt idx="14">
                  <c:v>0.22</c:v>
                </c:pt>
                <c:pt idx="15">
                  <c:v>0.248</c:v>
                </c:pt>
                <c:pt idx="16">
                  <c:v>0.254</c:v>
                </c:pt>
              </c:numCache>
            </c:numRef>
          </c:yVal>
        </c:ser>
        <c:axId val="169189376"/>
        <c:axId val="169190912"/>
      </c:scatterChart>
      <c:valAx>
        <c:axId val="169189376"/>
        <c:scaling>
          <c:orientation val="minMax"/>
        </c:scaling>
        <c:axPos val="b"/>
        <c:majorGridlines/>
        <c:numFmt formatCode="General" sourceLinked="1"/>
        <c:tickLblPos val="nextTo"/>
        <c:crossAx val="169190912"/>
        <c:crosses val="autoZero"/>
        <c:crossBetween val="midCat"/>
      </c:valAx>
      <c:valAx>
        <c:axId val="169190912"/>
        <c:scaling>
          <c:orientation val="minMax"/>
        </c:scaling>
        <c:axPos val="l"/>
        <c:majorGridlines/>
        <c:numFmt formatCode="0.00%" sourceLinked="0"/>
        <c:tickLblPos val="nextTo"/>
        <c:crossAx val="169189376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scatterChart>
        <c:scatterStyle val="lineMarker"/>
        <c:ser>
          <c:idx val="0"/>
          <c:order val="0"/>
          <c:marker>
            <c:symbol val="none"/>
          </c:marker>
          <c:trendline>
            <c:trendlineType val="linear"/>
          </c:trendline>
          <c:xVal>
            <c:numRef>
              <c:f>Demographics!$D$7:$T$7</c:f>
              <c:numCache>
                <c:formatCode>0</c:formatCode>
                <c:ptCount val="17"/>
                <c:pt idx="0">
                  <c:v>2016</c:v>
                </c:pt>
                <c:pt idx="1">
                  <c:v>2015</c:v>
                </c:pt>
                <c:pt idx="2">
                  <c:v>2014</c:v>
                </c:pt>
                <c:pt idx="3">
                  <c:v>2013</c:v>
                </c:pt>
                <c:pt idx="4">
                  <c:v>2012</c:v>
                </c:pt>
                <c:pt idx="5">
                  <c:v>2011</c:v>
                </c:pt>
                <c:pt idx="6">
                  <c:v>2010</c:v>
                </c:pt>
                <c:pt idx="7">
                  <c:v>2009</c:v>
                </c:pt>
                <c:pt idx="8">
                  <c:v>2008</c:v>
                </c:pt>
                <c:pt idx="9">
                  <c:v>2007</c:v>
                </c:pt>
                <c:pt idx="10">
                  <c:v>2006</c:v>
                </c:pt>
                <c:pt idx="11">
                  <c:v>2005</c:v>
                </c:pt>
                <c:pt idx="12">
                  <c:v>2004</c:v>
                </c:pt>
                <c:pt idx="13">
                  <c:v>2003</c:v>
                </c:pt>
                <c:pt idx="14">
                  <c:v>2002</c:v>
                </c:pt>
                <c:pt idx="15">
                  <c:v>2001</c:v>
                </c:pt>
                <c:pt idx="16" formatCode="General">
                  <c:v>2000</c:v>
                </c:pt>
              </c:numCache>
            </c:numRef>
          </c:xVal>
          <c:yVal>
            <c:numRef>
              <c:f>Demographics!$D$25:$T$25</c:f>
              <c:numCache>
                <c:formatCode>0.0%</c:formatCode>
                <c:ptCount val="17"/>
                <c:pt idx="0">
                  <c:v>9.5527318046521592E-2</c:v>
                </c:pt>
                <c:pt idx="1">
                  <c:v>9.7833958818303465E-2</c:v>
                </c:pt>
                <c:pt idx="2">
                  <c:v>9.6933216614643131E-2</c:v>
                </c:pt>
                <c:pt idx="3">
                  <c:v>9.6859882595840219E-2</c:v>
                </c:pt>
                <c:pt idx="4">
                  <c:v>9.8284381383352118E-2</c:v>
                </c:pt>
                <c:pt idx="5">
                  <c:v>9.316895670708826E-2</c:v>
                </c:pt>
                <c:pt idx="6">
                  <c:v>9.317216899345783E-2</c:v>
                </c:pt>
                <c:pt idx="7">
                  <c:v>9.4530901792913763E-2</c:v>
                </c:pt>
                <c:pt idx="8">
                  <c:v>9.296733464737815E-2</c:v>
                </c:pt>
                <c:pt idx="9">
                  <c:v>9.3191786365326865E-2</c:v>
                </c:pt>
                <c:pt idx="10">
                  <c:v>9.5423015634953076E-2</c:v>
                </c:pt>
                <c:pt idx="11">
                  <c:v>9.3098339714394254E-2</c:v>
                </c:pt>
                <c:pt idx="12">
                  <c:v>9.3675327104026943E-2</c:v>
                </c:pt>
                <c:pt idx="13">
                  <c:v>9.6275427653489551E-2</c:v>
                </c:pt>
                <c:pt idx="14">
                  <c:v>8.8235823004595454E-2</c:v>
                </c:pt>
                <c:pt idx="15">
                  <c:v>8.4740929503555218E-2</c:v>
                </c:pt>
                <c:pt idx="16">
                  <c:v>8.4180033137736657E-2</c:v>
                </c:pt>
              </c:numCache>
            </c:numRef>
          </c:yVal>
        </c:ser>
        <c:axId val="170686336"/>
        <c:axId val="170687872"/>
      </c:scatterChart>
      <c:valAx>
        <c:axId val="170686336"/>
        <c:scaling>
          <c:orientation val="minMax"/>
        </c:scaling>
        <c:axPos val="b"/>
        <c:majorGridlines/>
        <c:numFmt formatCode="0" sourceLinked="1"/>
        <c:tickLblPos val="nextTo"/>
        <c:crossAx val="170687872"/>
        <c:crosses val="autoZero"/>
        <c:crossBetween val="midCat"/>
      </c:valAx>
      <c:valAx>
        <c:axId val="170687872"/>
        <c:scaling>
          <c:orientation val="minMax"/>
          <c:max val="0.11"/>
          <c:min val="7.0000000000000021E-2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sz="1100"/>
                  <a:t>County operating</a:t>
                </a:r>
                <a:r>
                  <a:rPr lang="en-US" sz="1100" baseline="0"/>
                  <a:t> expenditures as a percent of median household income</a:t>
                </a:r>
                <a:endParaRPr lang="en-US" sz="1100"/>
              </a:p>
            </c:rich>
          </c:tx>
          <c:layout/>
        </c:title>
        <c:numFmt formatCode="0.0%" sourceLinked="1"/>
        <c:tickLblPos val="nextTo"/>
        <c:crossAx val="170686336"/>
        <c:crosses val="autoZero"/>
        <c:crossBetween val="midCat"/>
      </c:valAx>
    </c:plotArea>
    <c:plotVisOnly val="1"/>
  </c:chart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scatterChart>
        <c:scatterStyle val="lineMarker"/>
        <c:ser>
          <c:idx val="0"/>
          <c:order val="0"/>
          <c:tx>
            <c:strRef>
              <c:f>Demographics!$G$42</c:f>
              <c:strCache>
                <c:ptCount val="1"/>
                <c:pt idx="0">
                  <c:v>Mean Real-Estate Tax in 2014$ * 30</c:v>
                </c:pt>
              </c:strCache>
            </c:strRef>
          </c:tx>
          <c:marker>
            <c:symbol val="none"/>
          </c:marker>
          <c:xVal>
            <c:numRef>
              <c:f>Demographics!$A$43:$A$79</c:f>
              <c:numCache>
                <c:formatCode>General</c:formatCode>
                <c:ptCount val="37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  <c:pt idx="27">
                  <c:v>2008</c:v>
                </c:pt>
                <c:pt idx="28">
                  <c:v>2009</c:v>
                </c:pt>
                <c:pt idx="29">
                  <c:v>2010</c:v>
                </c:pt>
                <c:pt idx="30">
                  <c:v>2011</c:v>
                </c:pt>
                <c:pt idx="31">
                  <c:v>2012</c:v>
                </c:pt>
                <c:pt idx="32">
                  <c:v>2013</c:v>
                </c:pt>
                <c:pt idx="33">
                  <c:v>2014</c:v>
                </c:pt>
                <c:pt idx="34">
                  <c:v>2015</c:v>
                </c:pt>
                <c:pt idx="35">
                  <c:v>2016</c:v>
                </c:pt>
                <c:pt idx="36">
                  <c:v>2017</c:v>
                </c:pt>
              </c:numCache>
            </c:numRef>
          </c:xVal>
          <c:yVal>
            <c:numRef>
              <c:f>Demographics!$G$43:$G$79</c:f>
              <c:numCache>
                <c:formatCode>_("$"* #,##0_);_("$"* \(#,##0\);_("$"* "-"??_);_(@_)</c:formatCode>
                <c:ptCount val="37"/>
                <c:pt idx="0">
                  <c:v>93603.995815786591</c:v>
                </c:pt>
                <c:pt idx="1">
                  <c:v>99412.299549145086</c:v>
                </c:pt>
                <c:pt idx="2">
                  <c:v>103818.89889284641</c:v>
                </c:pt>
                <c:pt idx="3">
                  <c:v>100689.85451825315</c:v>
                </c:pt>
                <c:pt idx="4">
                  <c:v>98380.642394888477</c:v>
                </c:pt>
                <c:pt idx="5">
                  <c:v>94719.781884489057</c:v>
                </c:pt>
                <c:pt idx="6">
                  <c:v>92499.624397513224</c:v>
                </c:pt>
                <c:pt idx="7">
                  <c:v>95676.359434894373</c:v>
                </c:pt>
                <c:pt idx="8">
                  <c:v>105356.39540641131</c:v>
                </c:pt>
                <c:pt idx="9">
                  <c:v>111158.63929683244</c:v>
                </c:pt>
                <c:pt idx="10">
                  <c:v>113743.14509367845</c:v>
                </c:pt>
                <c:pt idx="11">
                  <c:v>108713.32101277978</c:v>
                </c:pt>
                <c:pt idx="12">
                  <c:v>106379.36410506576</c:v>
                </c:pt>
                <c:pt idx="13">
                  <c:v>103638.97244878543</c:v>
                </c:pt>
                <c:pt idx="14">
                  <c:v>101526.61651473753</c:v>
                </c:pt>
                <c:pt idx="15">
                  <c:v>99953.703194047164</c:v>
                </c:pt>
                <c:pt idx="16">
                  <c:v>104007.10106652338</c:v>
                </c:pt>
                <c:pt idx="17">
                  <c:v>102441.37596122394</c:v>
                </c:pt>
                <c:pt idx="18">
                  <c:v>101023.71039344839</c:v>
                </c:pt>
                <c:pt idx="19">
                  <c:v>99283.59725750002</c:v>
                </c:pt>
                <c:pt idx="20">
                  <c:v>102659.40753999438</c:v>
                </c:pt>
                <c:pt idx="21">
                  <c:v>113989.16300989162</c:v>
                </c:pt>
                <c:pt idx="22">
                  <c:v>129344.19487463316</c:v>
                </c:pt>
                <c:pt idx="23">
                  <c:v>140100.21779919532</c:v>
                </c:pt>
                <c:pt idx="24">
                  <c:v>148481.00373633899</c:v>
                </c:pt>
                <c:pt idx="25">
                  <c:v>157997.0835186012</c:v>
                </c:pt>
                <c:pt idx="26">
                  <c:v>166004.23727496841</c:v>
                </c:pt>
                <c:pt idx="27">
                  <c:v>159240.18672572376</c:v>
                </c:pt>
                <c:pt idx="28">
                  <c:v>159933.69592202746</c:v>
                </c:pt>
                <c:pt idx="29">
                  <c:v>155102.89733019043</c:v>
                </c:pt>
                <c:pt idx="30">
                  <c:v>149157.53835505975</c:v>
                </c:pt>
                <c:pt idx="31">
                  <c:v>149532.33131064774</c:v>
                </c:pt>
                <c:pt idx="32">
                  <c:v>149382.81055570432</c:v>
                </c:pt>
                <c:pt idx="33">
                  <c:v>155081.32920000001</c:v>
                </c:pt>
                <c:pt idx="34">
                  <c:v>163644.07879980325</c:v>
                </c:pt>
                <c:pt idx="35">
                  <c:v>162962.71807938322</c:v>
                </c:pt>
                <c:pt idx="36">
                  <c:v>171457.26468459304</c:v>
                </c:pt>
              </c:numCache>
            </c:numRef>
          </c:yVal>
        </c:ser>
        <c:ser>
          <c:idx val="1"/>
          <c:order val="1"/>
          <c:tx>
            <c:strRef>
              <c:f>Demographics!$I$42</c:f>
              <c:strCache>
                <c:ptCount val="1"/>
                <c:pt idx="0">
                  <c:v>Median household Income in 2014$</c:v>
                </c:pt>
              </c:strCache>
            </c:strRef>
          </c:tx>
          <c:marker>
            <c:symbol val="none"/>
          </c:marker>
          <c:xVal>
            <c:numRef>
              <c:f>Demographics!$A$43:$A$79</c:f>
              <c:numCache>
                <c:formatCode>General</c:formatCode>
                <c:ptCount val="37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  <c:pt idx="27">
                  <c:v>2008</c:v>
                </c:pt>
                <c:pt idx="28">
                  <c:v>2009</c:v>
                </c:pt>
                <c:pt idx="29">
                  <c:v>2010</c:v>
                </c:pt>
                <c:pt idx="30">
                  <c:v>2011</c:v>
                </c:pt>
                <c:pt idx="31">
                  <c:v>2012</c:v>
                </c:pt>
                <c:pt idx="32">
                  <c:v>2013</c:v>
                </c:pt>
                <c:pt idx="33">
                  <c:v>2014</c:v>
                </c:pt>
                <c:pt idx="34">
                  <c:v>2015</c:v>
                </c:pt>
                <c:pt idx="35">
                  <c:v>2016</c:v>
                </c:pt>
                <c:pt idx="36">
                  <c:v>2017</c:v>
                </c:pt>
              </c:numCache>
            </c:numRef>
          </c:xVal>
          <c:yVal>
            <c:numRef>
              <c:f>Demographics!$I$43:$I$79</c:f>
              <c:numCache>
                <c:formatCode>"$"#,##0.00_);[Red]\("$"#,##0.00\)</c:formatCode>
                <c:ptCount val="37"/>
                <c:pt idx="0">
                  <c:v>97961.343701276608</c:v>
                </c:pt>
                <c:pt idx="1">
                  <c:v>98391.952551533919</c:v>
                </c:pt>
                <c:pt idx="2">
                  <c:v>101254.62550200806</c:v>
                </c:pt>
                <c:pt idx="3">
                  <c:v>105152.78240295156</c:v>
                </c:pt>
                <c:pt idx="4">
                  <c:v>109347.46731722431</c:v>
                </c:pt>
                <c:pt idx="5">
                  <c:v>113184.07968369832</c:v>
                </c:pt>
                <c:pt idx="6">
                  <c:v>114825.37661384977</c:v>
                </c:pt>
                <c:pt idx="7">
                  <c:v>114465.83882783883</c:v>
                </c:pt>
                <c:pt idx="8">
                  <c:v>113213.34422043012</c:v>
                </c:pt>
                <c:pt idx="9">
                  <c:v>108949.35290742161</c:v>
                </c:pt>
                <c:pt idx="10">
                  <c:v>106027.21120900639</c:v>
                </c:pt>
                <c:pt idx="11">
                  <c:v>105459.80339748159</c:v>
                </c:pt>
                <c:pt idx="12">
                  <c:v>104852.00461361016</c:v>
                </c:pt>
                <c:pt idx="13">
                  <c:v>105429.06207827263</c:v>
                </c:pt>
                <c:pt idx="14">
                  <c:v>108737.08442694663</c:v>
                </c:pt>
                <c:pt idx="15">
                  <c:v>107127.26471213088</c:v>
                </c:pt>
                <c:pt idx="16">
                  <c:v>106199.40186915889</c:v>
                </c:pt>
                <c:pt idx="17">
                  <c:v>111178.85618609408</c:v>
                </c:pt>
                <c:pt idx="18">
                  <c:v>115241.91546618649</c:v>
                </c:pt>
                <c:pt idx="19">
                  <c:v>112731.50793650796</c:v>
                </c:pt>
                <c:pt idx="20">
                  <c:v>113221.64492753625</c:v>
                </c:pt>
                <c:pt idx="21">
                  <c:v>112248.99953677971</c:v>
                </c:pt>
                <c:pt idx="22">
                  <c:v>103958.05579710146</c:v>
                </c:pt>
                <c:pt idx="23">
                  <c:v>110410.0385565555</c:v>
                </c:pt>
                <c:pt idx="24">
                  <c:v>114670.97473971668</c:v>
                </c:pt>
                <c:pt idx="25">
                  <c:v>117780.9400628307</c:v>
                </c:pt>
                <c:pt idx="26">
                  <c:v>120113.84443737079</c:v>
                </c:pt>
                <c:pt idx="27">
                  <c:v>118091.54679683982</c:v>
                </c:pt>
                <c:pt idx="28">
                  <c:v>113106.16389402917</c:v>
                </c:pt>
                <c:pt idx="29">
                  <c:v>111823.68367147277</c:v>
                </c:pt>
                <c:pt idx="30">
                  <c:v>111348.71176280997</c:v>
                </c:pt>
                <c:pt idx="31">
                  <c:v>110431.68659738735</c:v>
                </c:pt>
                <c:pt idx="32">
                  <c:v>112258.55425929138</c:v>
                </c:pt>
                <c:pt idx="33">
                  <c:v>112556.07669478602</c:v>
                </c:pt>
                <c:pt idx="34">
                  <c:v>112225.71189178944</c:v>
                </c:pt>
                <c:pt idx="35">
                  <c:v>110404.04514686615</c:v>
                </c:pt>
                <c:pt idx="36">
                  <c:v>111059.91076160003</c:v>
                </c:pt>
              </c:numCache>
            </c:numRef>
          </c:yVal>
        </c:ser>
        <c:axId val="170708352"/>
        <c:axId val="170402944"/>
      </c:scatterChart>
      <c:valAx>
        <c:axId val="170708352"/>
        <c:scaling>
          <c:orientation val="minMax"/>
        </c:scaling>
        <c:axPos val="b"/>
        <c:majorGridlines/>
        <c:numFmt formatCode="General" sourceLinked="1"/>
        <c:tickLblPos val="nextTo"/>
        <c:crossAx val="170402944"/>
        <c:crosses val="autoZero"/>
        <c:crossBetween val="midCat"/>
      </c:valAx>
      <c:valAx>
        <c:axId val="170402944"/>
        <c:scaling>
          <c:orientation val="minMax"/>
        </c:scaling>
        <c:axPos val="l"/>
        <c:majorGridlines/>
        <c:numFmt formatCode="_(&quot;$&quot;* #,##0_);_(&quot;$&quot;* \(#,##0\);_(&quot;$&quot;* &quot;-&quot;??_);_(@_)" sourceLinked="1"/>
        <c:tickLblPos val="nextTo"/>
        <c:crossAx val="170708352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 sz="1800" b="1" i="0" u="none" strike="noStrike" baseline="0"/>
              <a:t>County Expenditures in millions of 2014$ </a:t>
            </a:r>
            <a:endParaRPr lang="en-US"/>
          </a:p>
        </c:rich>
      </c:tx>
      <c:layout/>
    </c:title>
    <c:plotArea>
      <c:layout>
        <c:manualLayout>
          <c:layoutTarget val="inner"/>
          <c:xMode val="edge"/>
          <c:yMode val="edge"/>
          <c:x val="0.10886535734757299"/>
          <c:y val="0.13764048036194979"/>
          <c:w val="0.45886124041124676"/>
          <c:h val="0.79189082362330543"/>
        </c:manualLayout>
      </c:layout>
      <c:scatterChart>
        <c:scatterStyle val="lineMarker"/>
        <c:ser>
          <c:idx val="0"/>
          <c:order val="0"/>
          <c:tx>
            <c:strRef>
              <c:f>'Rev and Major Expenditures'!$A$20</c:f>
              <c:strCache>
                <c:ptCount val="1"/>
                <c:pt idx="0">
                  <c:v>Public School Operating  (School Transfer Fund)</c:v>
                </c:pt>
              </c:strCache>
            </c:strRef>
          </c:tx>
          <c:marker>
            <c:symbol val="none"/>
          </c:marker>
          <c:xVal>
            <c:numRef>
              <c:f>'Rev and Major Expenditures'!$D$18:$Y$18</c:f>
              <c:numCache>
                <c:formatCode>General</c:formatCode>
                <c:ptCount val="22"/>
                <c:pt idx="0">
                  <c:v>2017</c:v>
                </c:pt>
                <c:pt idx="1">
                  <c:v>2016</c:v>
                </c:pt>
                <c:pt idx="2">
                  <c:v>2016</c:v>
                </c:pt>
                <c:pt idx="3">
                  <c:v>2015</c:v>
                </c:pt>
                <c:pt idx="4">
                  <c:v>2015</c:v>
                </c:pt>
                <c:pt idx="5">
                  <c:v>2015</c:v>
                </c:pt>
                <c:pt idx="6">
                  <c:v>2014</c:v>
                </c:pt>
                <c:pt idx="7">
                  <c:v>2014</c:v>
                </c:pt>
                <c:pt idx="8">
                  <c:v>2013</c:v>
                </c:pt>
                <c:pt idx="9">
                  <c:v>2012</c:v>
                </c:pt>
                <c:pt idx="10">
                  <c:v>2011</c:v>
                </c:pt>
                <c:pt idx="11">
                  <c:v>2010</c:v>
                </c:pt>
                <c:pt idx="12">
                  <c:v>2009</c:v>
                </c:pt>
                <c:pt idx="13">
                  <c:v>2008</c:v>
                </c:pt>
                <c:pt idx="14">
                  <c:v>2007</c:v>
                </c:pt>
                <c:pt idx="15">
                  <c:v>2006</c:v>
                </c:pt>
                <c:pt idx="16">
                  <c:v>2005</c:v>
                </c:pt>
                <c:pt idx="17">
                  <c:v>2004</c:v>
                </c:pt>
                <c:pt idx="18">
                  <c:v>2003</c:v>
                </c:pt>
                <c:pt idx="19">
                  <c:v>2002</c:v>
                </c:pt>
                <c:pt idx="20">
                  <c:v>2001</c:v>
                </c:pt>
                <c:pt idx="21">
                  <c:v>2000</c:v>
                </c:pt>
              </c:numCache>
            </c:numRef>
          </c:xVal>
          <c:yVal>
            <c:numRef>
              <c:f>'Rev and Major Expenditures'!$D$20:$Y$20</c:f>
              <c:numCache>
                <c:formatCode>"$"#,##0.00;"$"\-#,##0.00</c:formatCode>
                <c:ptCount val="22"/>
                <c:pt idx="0">
                  <c:v>1801.3597046175439</c:v>
                </c:pt>
                <c:pt idx="1">
                  <c:v>1766.3818466043194</c:v>
                </c:pt>
                <c:pt idx="2">
                  <c:v>1766.3818466043194</c:v>
                </c:pt>
                <c:pt idx="3">
                  <c:v>1739.7918278406296</c:v>
                </c:pt>
                <c:pt idx="4">
                  <c:v>1739.7918278406296</c:v>
                </c:pt>
                <c:pt idx="5">
                  <c:v>1739.7918278406296</c:v>
                </c:pt>
                <c:pt idx="6">
                  <c:v>1716.9887309999999</c:v>
                </c:pt>
                <c:pt idx="7">
                  <c:v>1716.9887309999999</c:v>
                </c:pt>
                <c:pt idx="8">
                  <c:v>1710.629525891103</c:v>
                </c:pt>
                <c:pt idx="9">
                  <c:v>1660.9448662940576</c:v>
                </c:pt>
                <c:pt idx="10">
                  <c:v>1696.1108081584348</c:v>
                </c:pt>
                <c:pt idx="11">
                  <c:v>1765.9464523953129</c:v>
                </c:pt>
                <c:pt idx="12">
                  <c:v>1794.9128570992993</c:v>
                </c:pt>
                <c:pt idx="13">
                  <c:v>1744.5450038171587</c:v>
                </c:pt>
                <c:pt idx="14">
                  <c:v>1750.5771770979936</c:v>
                </c:pt>
                <c:pt idx="15">
                  <c:v>1680.8007376578541</c:v>
                </c:pt>
                <c:pt idx="16">
                  <c:v>1602.9380231916532</c:v>
                </c:pt>
                <c:pt idx="17">
                  <c:v>1555.0775457948273</c:v>
                </c:pt>
                <c:pt idx="18">
                  <c:v>1503.8861414187854</c:v>
                </c:pt>
                <c:pt idx="19">
                  <c:v>1421.0904360962127</c:v>
                </c:pt>
                <c:pt idx="20">
                  <c:v>1320.6976150373011</c:v>
                </c:pt>
                <c:pt idx="21">
                  <c:v>1233.7399536936557</c:v>
                </c:pt>
              </c:numCache>
            </c:numRef>
          </c:yVal>
        </c:ser>
        <c:ser>
          <c:idx val="1"/>
          <c:order val="1"/>
          <c:tx>
            <c:strRef>
              <c:f>'Rev and Major Expenditures'!$A$21</c:f>
              <c:strCache>
                <c:ptCount val="1"/>
                <c:pt idx="0">
                  <c:v>Personnel Services</c:v>
                </c:pt>
              </c:strCache>
            </c:strRef>
          </c:tx>
          <c:marker>
            <c:symbol val="none"/>
          </c:marker>
          <c:xVal>
            <c:numRef>
              <c:f>'Rev and Major Expenditures'!$D$18:$Y$18</c:f>
              <c:numCache>
                <c:formatCode>General</c:formatCode>
                <c:ptCount val="22"/>
                <c:pt idx="0">
                  <c:v>2017</c:v>
                </c:pt>
                <c:pt idx="1">
                  <c:v>2016</c:v>
                </c:pt>
                <c:pt idx="2">
                  <c:v>2016</c:v>
                </c:pt>
                <c:pt idx="3">
                  <c:v>2015</c:v>
                </c:pt>
                <c:pt idx="4">
                  <c:v>2015</c:v>
                </c:pt>
                <c:pt idx="5">
                  <c:v>2015</c:v>
                </c:pt>
                <c:pt idx="6">
                  <c:v>2014</c:v>
                </c:pt>
                <c:pt idx="7">
                  <c:v>2014</c:v>
                </c:pt>
                <c:pt idx="8">
                  <c:v>2013</c:v>
                </c:pt>
                <c:pt idx="9">
                  <c:v>2012</c:v>
                </c:pt>
                <c:pt idx="10">
                  <c:v>2011</c:v>
                </c:pt>
                <c:pt idx="11">
                  <c:v>2010</c:v>
                </c:pt>
                <c:pt idx="12">
                  <c:v>2009</c:v>
                </c:pt>
                <c:pt idx="13">
                  <c:v>2008</c:v>
                </c:pt>
                <c:pt idx="14">
                  <c:v>2007</c:v>
                </c:pt>
                <c:pt idx="15">
                  <c:v>2006</c:v>
                </c:pt>
                <c:pt idx="16">
                  <c:v>2005</c:v>
                </c:pt>
                <c:pt idx="17">
                  <c:v>2004</c:v>
                </c:pt>
                <c:pt idx="18">
                  <c:v>2003</c:v>
                </c:pt>
                <c:pt idx="19">
                  <c:v>2002</c:v>
                </c:pt>
                <c:pt idx="20">
                  <c:v>2001</c:v>
                </c:pt>
                <c:pt idx="21">
                  <c:v>2000</c:v>
                </c:pt>
              </c:numCache>
            </c:numRef>
          </c:xVal>
          <c:yVal>
            <c:numRef>
              <c:f>'Rev and Major Expenditures'!$D$21:$Y$21</c:f>
              <c:numCache>
                <c:formatCode>"$"#,##0.00;"$"\-#,##0.00</c:formatCode>
                <c:ptCount val="22"/>
                <c:pt idx="0">
                  <c:v>771.81601010434042</c:v>
                </c:pt>
                <c:pt idx="1">
                  <c:v>748.63759865804968</c:v>
                </c:pt>
                <c:pt idx="2">
                  <c:v>745.28067602705858</c:v>
                </c:pt>
                <c:pt idx="3">
                  <c:v>722.65392818494831</c:v>
                </c:pt>
                <c:pt idx="4">
                  <c:v>738.82334972946387</c:v>
                </c:pt>
                <c:pt idx="5">
                  <c:v>739.85801770782098</c:v>
                </c:pt>
                <c:pt idx="6">
                  <c:v>712.590507</c:v>
                </c:pt>
                <c:pt idx="7">
                  <c:v>731.82869300000004</c:v>
                </c:pt>
                <c:pt idx="8">
                  <c:v>706.91942663400243</c:v>
                </c:pt>
                <c:pt idx="9">
                  <c:v>696.2911296482913</c:v>
                </c:pt>
                <c:pt idx="10">
                  <c:v>695.41070981064297</c:v>
                </c:pt>
                <c:pt idx="11">
                  <c:v>731.38535979865662</c:v>
                </c:pt>
                <c:pt idx="12">
                  <c:v>766.59330094116092</c:v>
                </c:pt>
                <c:pt idx="13">
                  <c:v>750.69858493534457</c:v>
                </c:pt>
                <c:pt idx="14">
                  <c:v>739.54641382988655</c:v>
                </c:pt>
                <c:pt idx="15">
                  <c:v>703.8458925920346</c:v>
                </c:pt>
                <c:pt idx="16">
                  <c:v>670.17129159997273</c:v>
                </c:pt>
                <c:pt idx="17">
                  <c:v>659.06964683350543</c:v>
                </c:pt>
                <c:pt idx="18">
                  <c:v>650.70801798846651</c:v>
                </c:pt>
                <c:pt idx="19">
                  <c:v>628.632431788541</c:v>
                </c:pt>
                <c:pt idx="20">
                  <c:v>602.74722214121778</c:v>
                </c:pt>
                <c:pt idx="21">
                  <c:v>574.68994409234529</c:v>
                </c:pt>
              </c:numCache>
            </c:numRef>
          </c:yVal>
        </c:ser>
        <c:ser>
          <c:idx val="3"/>
          <c:order val="2"/>
          <c:tx>
            <c:strRef>
              <c:f>'Rev and Major Expenditures'!$A$23</c:f>
              <c:strCache>
                <c:ptCount val="1"/>
                <c:pt idx="0">
                  <c:v>Non-school Fringe Benefits, including OPEB's</c:v>
                </c:pt>
              </c:strCache>
            </c:strRef>
          </c:tx>
          <c:marker>
            <c:symbol val="none"/>
          </c:marker>
          <c:xVal>
            <c:numRef>
              <c:f>'Rev and Major Expenditures'!$D$18:$Y$18</c:f>
              <c:numCache>
                <c:formatCode>General</c:formatCode>
                <c:ptCount val="22"/>
                <c:pt idx="0">
                  <c:v>2017</c:v>
                </c:pt>
                <c:pt idx="1">
                  <c:v>2016</c:v>
                </c:pt>
                <c:pt idx="2">
                  <c:v>2016</c:v>
                </c:pt>
                <c:pt idx="3">
                  <c:v>2015</c:v>
                </c:pt>
                <c:pt idx="4">
                  <c:v>2015</c:v>
                </c:pt>
                <c:pt idx="5">
                  <c:v>2015</c:v>
                </c:pt>
                <c:pt idx="6">
                  <c:v>2014</c:v>
                </c:pt>
                <c:pt idx="7">
                  <c:v>2014</c:v>
                </c:pt>
                <c:pt idx="8">
                  <c:v>2013</c:v>
                </c:pt>
                <c:pt idx="9">
                  <c:v>2012</c:v>
                </c:pt>
                <c:pt idx="10">
                  <c:v>2011</c:v>
                </c:pt>
                <c:pt idx="11">
                  <c:v>2010</c:v>
                </c:pt>
                <c:pt idx="12">
                  <c:v>2009</c:v>
                </c:pt>
                <c:pt idx="13">
                  <c:v>2008</c:v>
                </c:pt>
                <c:pt idx="14">
                  <c:v>2007</c:v>
                </c:pt>
                <c:pt idx="15">
                  <c:v>2006</c:v>
                </c:pt>
                <c:pt idx="16">
                  <c:v>2005</c:v>
                </c:pt>
                <c:pt idx="17">
                  <c:v>2004</c:v>
                </c:pt>
                <c:pt idx="18">
                  <c:v>2003</c:v>
                </c:pt>
                <c:pt idx="19">
                  <c:v>2002</c:v>
                </c:pt>
                <c:pt idx="20">
                  <c:v>2001</c:v>
                </c:pt>
                <c:pt idx="21">
                  <c:v>2000</c:v>
                </c:pt>
              </c:numCache>
            </c:numRef>
          </c:xVal>
          <c:yVal>
            <c:numRef>
              <c:f>'Rev and Major Expenditures'!$D$23:$Y$23</c:f>
              <c:numCache>
                <c:formatCode>"$"#,##0.00;"$"\-#,##0.00</c:formatCode>
                <c:ptCount val="22"/>
                <c:pt idx="0">
                  <c:v>356.34252308049446</c:v>
                </c:pt>
                <c:pt idx="1">
                  <c:v>352.60651391731466</c:v>
                </c:pt>
                <c:pt idx="2">
                  <c:v>352.33829999789498</c:v>
                </c:pt>
                <c:pt idx="3">
                  <c:v>330.73159075258235</c:v>
                </c:pt>
                <c:pt idx="4">
                  <c:v>337.63160846040336</c:v>
                </c:pt>
                <c:pt idx="5">
                  <c:v>336.45841219872113</c:v>
                </c:pt>
                <c:pt idx="6">
                  <c:v>316.40829400000001</c:v>
                </c:pt>
                <c:pt idx="7">
                  <c:v>328.65172699999999</c:v>
                </c:pt>
                <c:pt idx="8">
                  <c:v>315.95030703925721</c:v>
                </c:pt>
                <c:pt idx="9">
                  <c:v>296.79947879205787</c:v>
                </c:pt>
                <c:pt idx="10">
                  <c:v>260.85186683668474</c:v>
                </c:pt>
                <c:pt idx="11">
                  <c:v>219.05512258194531</c:v>
                </c:pt>
                <c:pt idx="12">
                  <c:v>219.92789441943427</c:v>
                </c:pt>
                <c:pt idx="13">
                  <c:v>229.5020698313927</c:v>
                </c:pt>
                <c:pt idx="14">
                  <c:v>224.38797820770756</c:v>
                </c:pt>
                <c:pt idx="15">
                  <c:v>198.51603319898152</c:v>
                </c:pt>
                <c:pt idx="16">
                  <c:v>189.92452921270694</c:v>
                </c:pt>
                <c:pt idx="17">
                  <c:v>170.31693386838717</c:v>
                </c:pt>
                <c:pt idx="18">
                  <c:v>167.50950533537412</c:v>
                </c:pt>
                <c:pt idx="19">
                  <c:v>147.8415057952335</c:v>
                </c:pt>
                <c:pt idx="20">
                  <c:v>147.67436855942782</c:v>
                </c:pt>
                <c:pt idx="21">
                  <c:v>132.87213839128728</c:v>
                </c:pt>
              </c:numCache>
            </c:numRef>
          </c:yVal>
        </c:ser>
        <c:ser>
          <c:idx val="2"/>
          <c:order val="3"/>
          <c:tx>
            <c:strRef>
              <c:f>'Rev and Major Expenditures'!$A$22</c:f>
              <c:strCache>
                <c:ptCount val="1"/>
                <c:pt idx="0">
                  <c:v>Operating Expenses</c:v>
                </c:pt>
              </c:strCache>
            </c:strRef>
          </c:tx>
          <c:marker>
            <c:symbol val="none"/>
          </c:marker>
          <c:xVal>
            <c:numRef>
              <c:f>'Rev and Major Expenditures'!$D$18:$Y$18</c:f>
              <c:numCache>
                <c:formatCode>General</c:formatCode>
                <c:ptCount val="22"/>
                <c:pt idx="0">
                  <c:v>2017</c:v>
                </c:pt>
                <c:pt idx="1">
                  <c:v>2016</c:v>
                </c:pt>
                <c:pt idx="2">
                  <c:v>2016</c:v>
                </c:pt>
                <c:pt idx="3">
                  <c:v>2015</c:v>
                </c:pt>
                <c:pt idx="4">
                  <c:v>2015</c:v>
                </c:pt>
                <c:pt idx="5">
                  <c:v>2015</c:v>
                </c:pt>
                <c:pt idx="6">
                  <c:v>2014</c:v>
                </c:pt>
                <c:pt idx="7">
                  <c:v>2014</c:v>
                </c:pt>
                <c:pt idx="8">
                  <c:v>2013</c:v>
                </c:pt>
                <c:pt idx="9">
                  <c:v>2012</c:v>
                </c:pt>
                <c:pt idx="10">
                  <c:v>2011</c:v>
                </c:pt>
                <c:pt idx="11">
                  <c:v>2010</c:v>
                </c:pt>
                <c:pt idx="12">
                  <c:v>2009</c:v>
                </c:pt>
                <c:pt idx="13">
                  <c:v>2008</c:v>
                </c:pt>
                <c:pt idx="14">
                  <c:v>2007</c:v>
                </c:pt>
                <c:pt idx="15">
                  <c:v>2006</c:v>
                </c:pt>
                <c:pt idx="16">
                  <c:v>2005</c:v>
                </c:pt>
                <c:pt idx="17">
                  <c:v>2004</c:v>
                </c:pt>
                <c:pt idx="18">
                  <c:v>2003</c:v>
                </c:pt>
                <c:pt idx="19">
                  <c:v>2002</c:v>
                </c:pt>
                <c:pt idx="20">
                  <c:v>2001</c:v>
                </c:pt>
                <c:pt idx="21">
                  <c:v>2000</c:v>
                </c:pt>
              </c:numCache>
            </c:numRef>
          </c:xVal>
          <c:yVal>
            <c:numRef>
              <c:f>'Rev and Major Expenditures'!$D$22:$Y$22</c:f>
              <c:numCache>
                <c:formatCode>"$"#,##0.00;"$"\-#,##0.00</c:formatCode>
                <c:ptCount val="22"/>
                <c:pt idx="0">
                  <c:v>336.35283680099565</c:v>
                </c:pt>
                <c:pt idx="1">
                  <c:v>331.42731066279964</c:v>
                </c:pt>
                <c:pt idx="2">
                  <c:v>329.98752942411841</c:v>
                </c:pt>
                <c:pt idx="3">
                  <c:v>333.06777963600587</c:v>
                </c:pt>
                <c:pt idx="4">
                  <c:v>374.17654599114604</c:v>
                </c:pt>
                <c:pt idx="5">
                  <c:v>338.12227545499258</c:v>
                </c:pt>
                <c:pt idx="6">
                  <c:v>332.69027</c:v>
                </c:pt>
                <c:pt idx="7">
                  <c:v>372.04322500000001</c:v>
                </c:pt>
                <c:pt idx="8">
                  <c:v>340.22603300587986</c:v>
                </c:pt>
                <c:pt idx="9">
                  <c:v>357.92089935752432</c:v>
                </c:pt>
                <c:pt idx="10">
                  <c:v>349.14842315909198</c:v>
                </c:pt>
                <c:pt idx="11">
                  <c:v>355.90348752287179</c:v>
                </c:pt>
                <c:pt idx="12">
                  <c:v>405.36851778355486</c:v>
                </c:pt>
                <c:pt idx="13">
                  <c:v>397.74621031647496</c:v>
                </c:pt>
                <c:pt idx="14">
                  <c:v>399.32666686549925</c:v>
                </c:pt>
                <c:pt idx="15">
                  <c:v>403.14304181448915</c:v>
                </c:pt>
                <c:pt idx="16">
                  <c:v>405.71400711518777</c:v>
                </c:pt>
                <c:pt idx="17">
                  <c:v>386.20711879317628</c:v>
                </c:pt>
                <c:pt idx="18">
                  <c:v>395.81090262415404</c:v>
                </c:pt>
                <c:pt idx="19">
                  <c:v>383.97861152635352</c:v>
                </c:pt>
                <c:pt idx="20">
                  <c:v>365.55165363749296</c:v>
                </c:pt>
                <c:pt idx="21">
                  <c:v>370.02465551135123</c:v>
                </c:pt>
              </c:numCache>
            </c:numRef>
          </c:yVal>
        </c:ser>
        <c:ser>
          <c:idx val="4"/>
          <c:order val="4"/>
          <c:tx>
            <c:strRef>
              <c:f>'Rev and Major Expenditures'!$A$24</c:f>
              <c:strCache>
                <c:ptCount val="1"/>
                <c:pt idx="0">
                  <c:v>School Debt Service   </c:v>
                </c:pt>
              </c:strCache>
            </c:strRef>
          </c:tx>
          <c:marker>
            <c:symbol val="none"/>
          </c:marker>
          <c:xVal>
            <c:numRef>
              <c:f>'Rev and Major Expenditures'!$D$18:$Y$18</c:f>
              <c:numCache>
                <c:formatCode>General</c:formatCode>
                <c:ptCount val="22"/>
                <c:pt idx="0">
                  <c:v>2017</c:v>
                </c:pt>
                <c:pt idx="1">
                  <c:v>2016</c:v>
                </c:pt>
                <c:pt idx="2">
                  <c:v>2016</c:v>
                </c:pt>
                <c:pt idx="3">
                  <c:v>2015</c:v>
                </c:pt>
                <c:pt idx="4">
                  <c:v>2015</c:v>
                </c:pt>
                <c:pt idx="5">
                  <c:v>2015</c:v>
                </c:pt>
                <c:pt idx="6">
                  <c:v>2014</c:v>
                </c:pt>
                <c:pt idx="7">
                  <c:v>2014</c:v>
                </c:pt>
                <c:pt idx="8">
                  <c:v>2013</c:v>
                </c:pt>
                <c:pt idx="9">
                  <c:v>2012</c:v>
                </c:pt>
                <c:pt idx="10">
                  <c:v>2011</c:v>
                </c:pt>
                <c:pt idx="11">
                  <c:v>2010</c:v>
                </c:pt>
                <c:pt idx="12">
                  <c:v>2009</c:v>
                </c:pt>
                <c:pt idx="13">
                  <c:v>2008</c:v>
                </c:pt>
                <c:pt idx="14">
                  <c:v>2007</c:v>
                </c:pt>
                <c:pt idx="15">
                  <c:v>2006</c:v>
                </c:pt>
                <c:pt idx="16">
                  <c:v>2005</c:v>
                </c:pt>
                <c:pt idx="17">
                  <c:v>2004</c:v>
                </c:pt>
                <c:pt idx="18">
                  <c:v>2003</c:v>
                </c:pt>
                <c:pt idx="19">
                  <c:v>2002</c:v>
                </c:pt>
                <c:pt idx="20">
                  <c:v>2001</c:v>
                </c:pt>
                <c:pt idx="21">
                  <c:v>2000</c:v>
                </c:pt>
              </c:numCache>
            </c:numRef>
          </c:xVal>
          <c:yVal>
            <c:numRef>
              <c:f>'Rev and Major Expenditures'!$D$24:$Y$24</c:f>
              <c:numCache>
                <c:formatCode>"$"#,##0.00;"$"\-#,##0.00</c:formatCode>
                <c:ptCount val="22"/>
                <c:pt idx="0">
                  <c:v>131.03871445955571</c:v>
                </c:pt>
                <c:pt idx="1">
                  <c:v>123.67824259288875</c:v>
                </c:pt>
                <c:pt idx="2">
                  <c:v>123.67824259288875</c:v>
                </c:pt>
                <c:pt idx="3">
                  <c:v>131.57123167732414</c:v>
                </c:pt>
                <c:pt idx="4">
                  <c:v>131.57123167732414</c:v>
                </c:pt>
                <c:pt idx="5">
                  <c:v>131.57123167732414</c:v>
                </c:pt>
                <c:pt idx="6">
                  <c:v>118.79799199999999</c:v>
                </c:pt>
                <c:pt idx="7">
                  <c:v>118.79799199999999</c:v>
                </c:pt>
                <c:pt idx="8">
                  <c:v>118.7486904000136</c:v>
                </c:pt>
                <c:pt idx="9">
                  <c:v>120.41295096411962</c:v>
                </c:pt>
                <c:pt idx="10">
                  <c:v>128.0406445740004</c:v>
                </c:pt>
                <c:pt idx="11">
                  <c:v>120.43507898599061</c:v>
                </c:pt>
                <c:pt idx="12">
                  <c:v>124.87767300439087</c:v>
                </c:pt>
                <c:pt idx="13">
                  <c:v>124.66039788380486</c:v>
                </c:pt>
                <c:pt idx="14">
                  <c:v>126.38346856412514</c:v>
                </c:pt>
                <c:pt idx="15">
                  <c:v>115.91988025832427</c:v>
                </c:pt>
                <c:pt idx="16">
                  <c:v>119.65923123439923</c:v>
                </c:pt>
                <c:pt idx="17">
                  <c:v>123.37563099985178</c:v>
                </c:pt>
                <c:pt idx="18">
                  <c:v>128.77610012477086</c:v>
                </c:pt>
                <c:pt idx="19">
                  <c:v>128.97434523111176</c:v>
                </c:pt>
                <c:pt idx="20">
                  <c:v>126.54548923511108</c:v>
                </c:pt>
                <c:pt idx="21">
                  <c:v>130.07064493800814</c:v>
                </c:pt>
              </c:numCache>
            </c:numRef>
          </c:yVal>
        </c:ser>
        <c:ser>
          <c:idx val="5"/>
          <c:order val="5"/>
          <c:tx>
            <c:strRef>
              <c:f>'Rev and Major Expenditures'!$A$25</c:f>
              <c:strCache>
                <c:ptCount val="1"/>
                <c:pt idx="0">
                  <c:v>County Debt Service   </c:v>
                </c:pt>
              </c:strCache>
            </c:strRef>
          </c:tx>
          <c:marker>
            <c:symbol val="none"/>
          </c:marker>
          <c:xVal>
            <c:numRef>
              <c:f>'Rev and Major Expenditures'!$D$18:$Y$18</c:f>
              <c:numCache>
                <c:formatCode>General</c:formatCode>
                <c:ptCount val="22"/>
                <c:pt idx="0">
                  <c:v>2017</c:v>
                </c:pt>
                <c:pt idx="1">
                  <c:v>2016</c:v>
                </c:pt>
                <c:pt idx="2">
                  <c:v>2016</c:v>
                </c:pt>
                <c:pt idx="3">
                  <c:v>2015</c:v>
                </c:pt>
                <c:pt idx="4">
                  <c:v>2015</c:v>
                </c:pt>
                <c:pt idx="5">
                  <c:v>2015</c:v>
                </c:pt>
                <c:pt idx="6">
                  <c:v>2014</c:v>
                </c:pt>
                <c:pt idx="7">
                  <c:v>2014</c:v>
                </c:pt>
                <c:pt idx="8">
                  <c:v>2013</c:v>
                </c:pt>
                <c:pt idx="9">
                  <c:v>2012</c:v>
                </c:pt>
                <c:pt idx="10">
                  <c:v>2011</c:v>
                </c:pt>
                <c:pt idx="11">
                  <c:v>2010</c:v>
                </c:pt>
                <c:pt idx="12">
                  <c:v>2009</c:v>
                </c:pt>
                <c:pt idx="13">
                  <c:v>2008</c:v>
                </c:pt>
                <c:pt idx="14">
                  <c:v>2007</c:v>
                </c:pt>
                <c:pt idx="15">
                  <c:v>2006</c:v>
                </c:pt>
                <c:pt idx="16">
                  <c:v>2005</c:v>
                </c:pt>
                <c:pt idx="17">
                  <c:v>2004</c:v>
                </c:pt>
                <c:pt idx="18">
                  <c:v>2003</c:v>
                </c:pt>
                <c:pt idx="19">
                  <c:v>2002</c:v>
                </c:pt>
                <c:pt idx="20">
                  <c:v>2001</c:v>
                </c:pt>
                <c:pt idx="21">
                  <c:v>2000</c:v>
                </c:pt>
              </c:numCache>
            </c:numRef>
          </c:xVal>
          <c:yVal>
            <c:numRef>
              <c:f>'Rev and Major Expenditures'!$D$25:$Y$25</c:f>
              <c:numCache>
                <c:formatCode>"$"#,##0.00;"$"\-#,##0.00</c:formatCode>
                <c:ptCount val="22"/>
                <c:pt idx="0">
                  <c:v>181.93675193512934</c:v>
                </c:pt>
                <c:pt idx="1">
                  <c:v>181.13084620244086</c:v>
                </c:pt>
                <c:pt idx="2">
                  <c:v>181.13084620244086</c:v>
                </c:pt>
                <c:pt idx="3">
                  <c:v>174.26579045745203</c:v>
                </c:pt>
                <c:pt idx="4">
                  <c:v>174.26579045745203</c:v>
                </c:pt>
                <c:pt idx="5">
                  <c:v>174.26579045745203</c:v>
                </c:pt>
                <c:pt idx="6">
                  <c:v>172.367649</c:v>
                </c:pt>
                <c:pt idx="7">
                  <c:v>172.367649</c:v>
                </c:pt>
                <c:pt idx="8">
                  <c:v>167.42979094911115</c:v>
                </c:pt>
                <c:pt idx="9">
                  <c:v>164.70890386654696</c:v>
                </c:pt>
                <c:pt idx="10">
                  <c:v>168.6110833994332</c:v>
                </c:pt>
                <c:pt idx="11">
                  <c:v>177.79740862163311</c:v>
                </c:pt>
                <c:pt idx="12">
                  <c:v>170.63380717077163</c:v>
                </c:pt>
                <c:pt idx="13">
                  <c:v>162.57786836811999</c:v>
                </c:pt>
                <c:pt idx="14">
                  <c:v>162.43841003949674</c:v>
                </c:pt>
                <c:pt idx="15">
                  <c:v>152.987745057648</c:v>
                </c:pt>
                <c:pt idx="16">
                  <c:v>153.37309904258493</c:v>
                </c:pt>
                <c:pt idx="17">
                  <c:v>151.51206528821336</c:v>
                </c:pt>
                <c:pt idx="18">
                  <c:v>146.16500200514224</c:v>
                </c:pt>
                <c:pt idx="19">
                  <c:v>138.86820891804336</c:v>
                </c:pt>
                <c:pt idx="20">
                  <c:v>127.32514123515811</c:v>
                </c:pt>
                <c:pt idx="21">
                  <c:v>122.98720737915025</c:v>
                </c:pt>
              </c:numCache>
            </c:numRef>
          </c:yVal>
        </c:ser>
        <c:ser>
          <c:idx val="6"/>
          <c:order val="6"/>
          <c:tx>
            <c:strRef>
              <c:f>'Rev and Major Expenditures'!$A$26</c:f>
              <c:strCache>
                <c:ptCount val="1"/>
                <c:pt idx="0">
                  <c:v>Fairfax-Falls Church Community Services Board and other welfare programs</c:v>
                </c:pt>
              </c:strCache>
            </c:strRef>
          </c:tx>
          <c:marker>
            <c:symbol val="none"/>
          </c:marker>
          <c:xVal>
            <c:numRef>
              <c:f>'Rev and Major Expenditures'!$D$18:$Y$18</c:f>
              <c:numCache>
                <c:formatCode>General</c:formatCode>
                <c:ptCount val="22"/>
                <c:pt idx="0">
                  <c:v>2017</c:v>
                </c:pt>
                <c:pt idx="1">
                  <c:v>2016</c:v>
                </c:pt>
                <c:pt idx="2">
                  <c:v>2016</c:v>
                </c:pt>
                <c:pt idx="3">
                  <c:v>2015</c:v>
                </c:pt>
                <c:pt idx="4">
                  <c:v>2015</c:v>
                </c:pt>
                <c:pt idx="5">
                  <c:v>2015</c:v>
                </c:pt>
                <c:pt idx="6">
                  <c:v>2014</c:v>
                </c:pt>
                <c:pt idx="7">
                  <c:v>2014</c:v>
                </c:pt>
                <c:pt idx="8">
                  <c:v>2013</c:v>
                </c:pt>
                <c:pt idx="9">
                  <c:v>2012</c:v>
                </c:pt>
                <c:pt idx="10">
                  <c:v>2011</c:v>
                </c:pt>
                <c:pt idx="11">
                  <c:v>2010</c:v>
                </c:pt>
                <c:pt idx="12">
                  <c:v>2009</c:v>
                </c:pt>
                <c:pt idx="13">
                  <c:v>2008</c:v>
                </c:pt>
                <c:pt idx="14">
                  <c:v>2007</c:v>
                </c:pt>
                <c:pt idx="15">
                  <c:v>2006</c:v>
                </c:pt>
                <c:pt idx="16">
                  <c:v>2005</c:v>
                </c:pt>
                <c:pt idx="17">
                  <c:v>2004</c:v>
                </c:pt>
                <c:pt idx="18">
                  <c:v>2003</c:v>
                </c:pt>
                <c:pt idx="19">
                  <c:v>2002</c:v>
                </c:pt>
                <c:pt idx="20">
                  <c:v>2001</c:v>
                </c:pt>
                <c:pt idx="21">
                  <c:v>2000</c:v>
                </c:pt>
              </c:numCache>
            </c:numRef>
          </c:xVal>
          <c:yVal>
            <c:numRef>
              <c:f>'Rev and Major Expenditures'!$D$26:$Y$26</c:f>
              <c:numCache>
                <c:formatCode>"$"#,##0.00;"$"\-#,##0.00</c:formatCode>
                <c:ptCount val="22"/>
                <c:pt idx="0">
                  <c:v>119.59419731492321</c:v>
                </c:pt>
                <c:pt idx="1">
                  <c:v>113.60524489068588</c:v>
                </c:pt>
                <c:pt idx="2">
                  <c:v>113.02830691523943</c:v>
                </c:pt>
                <c:pt idx="3">
                  <c:v>112.20452336448598</c:v>
                </c:pt>
                <c:pt idx="4">
                  <c:v>113.31618101328087</c:v>
                </c:pt>
                <c:pt idx="5">
                  <c:v>113.31618101328087</c:v>
                </c:pt>
                <c:pt idx="6">
                  <c:v>111.94530499999999</c:v>
                </c:pt>
                <c:pt idx="7">
                  <c:v>111.90549300000001</c:v>
                </c:pt>
                <c:pt idx="8">
                  <c:v>114.54101107918947</c:v>
                </c:pt>
                <c:pt idx="9">
                  <c:v>106.51322287345374</c:v>
                </c:pt>
                <c:pt idx="10">
                  <c:v>103.76355016456822</c:v>
                </c:pt>
                <c:pt idx="11">
                  <c:v>109.01840526021297</c:v>
                </c:pt>
                <c:pt idx="12">
                  <c:v>118.8449819558266</c:v>
                </c:pt>
                <c:pt idx="13">
                  <c:v>116.70757104492121</c:v>
                </c:pt>
                <c:pt idx="14">
                  <c:v>119.26100759770091</c:v>
                </c:pt>
                <c:pt idx="15">
                  <c:v>133.74425706130293</c:v>
                </c:pt>
                <c:pt idx="16">
                  <c:v>112.07638999105309</c:v>
                </c:pt>
                <c:pt idx="17">
                  <c:v>107.88630318987823</c:v>
                </c:pt>
                <c:pt idx="18">
                  <c:v>106.75649987056251</c:v>
                </c:pt>
                <c:pt idx="19">
                  <c:v>104.71070808173337</c:v>
                </c:pt>
                <c:pt idx="20">
                  <c:v>100.76610102410127</c:v>
                </c:pt>
                <c:pt idx="21">
                  <c:v>84.578606535296188</c:v>
                </c:pt>
              </c:numCache>
            </c:numRef>
          </c:yVal>
        </c:ser>
        <c:ser>
          <c:idx val="7"/>
          <c:order val="7"/>
          <c:tx>
            <c:strRef>
              <c:f>'Rev and Major Expenditures'!$A$27</c:f>
              <c:strCache>
                <c:ptCount val="1"/>
                <c:pt idx="0">
                  <c:v>County Transit Systems   </c:v>
                </c:pt>
              </c:strCache>
            </c:strRef>
          </c:tx>
          <c:marker>
            <c:symbol val="none"/>
          </c:marker>
          <c:xVal>
            <c:numRef>
              <c:f>'Rev and Major Expenditures'!$D$18:$Y$18</c:f>
              <c:numCache>
                <c:formatCode>General</c:formatCode>
                <c:ptCount val="22"/>
                <c:pt idx="0">
                  <c:v>2017</c:v>
                </c:pt>
                <c:pt idx="1">
                  <c:v>2016</c:v>
                </c:pt>
                <c:pt idx="2">
                  <c:v>2016</c:v>
                </c:pt>
                <c:pt idx="3">
                  <c:v>2015</c:v>
                </c:pt>
                <c:pt idx="4">
                  <c:v>2015</c:v>
                </c:pt>
                <c:pt idx="5">
                  <c:v>2015</c:v>
                </c:pt>
                <c:pt idx="6">
                  <c:v>2014</c:v>
                </c:pt>
                <c:pt idx="7">
                  <c:v>2014</c:v>
                </c:pt>
                <c:pt idx="8">
                  <c:v>2013</c:v>
                </c:pt>
                <c:pt idx="9">
                  <c:v>2012</c:v>
                </c:pt>
                <c:pt idx="10">
                  <c:v>2011</c:v>
                </c:pt>
                <c:pt idx="11">
                  <c:v>2010</c:v>
                </c:pt>
                <c:pt idx="12">
                  <c:v>2009</c:v>
                </c:pt>
                <c:pt idx="13">
                  <c:v>2008</c:v>
                </c:pt>
                <c:pt idx="14">
                  <c:v>2007</c:v>
                </c:pt>
                <c:pt idx="15">
                  <c:v>2006</c:v>
                </c:pt>
                <c:pt idx="16">
                  <c:v>2005</c:v>
                </c:pt>
                <c:pt idx="17">
                  <c:v>2004</c:v>
                </c:pt>
                <c:pt idx="18">
                  <c:v>2003</c:v>
                </c:pt>
                <c:pt idx="19">
                  <c:v>2002</c:v>
                </c:pt>
                <c:pt idx="20">
                  <c:v>2001</c:v>
                </c:pt>
                <c:pt idx="21">
                  <c:v>2000</c:v>
                </c:pt>
              </c:numCache>
            </c:numRef>
          </c:xVal>
          <c:yVal>
            <c:numRef>
              <c:f>'Rev and Major Expenditures'!$D$27:$Y$27</c:f>
              <c:numCache>
                <c:formatCode>"$"#,##0.00;"$"\-#,##0.00</c:formatCode>
                <c:ptCount val="22"/>
                <c:pt idx="0">
                  <c:v>46.461645237130178</c:v>
                </c:pt>
                <c:pt idx="1">
                  <c:v>44.369753470104321</c:v>
                </c:pt>
                <c:pt idx="2">
                  <c:v>44.369753470104321</c:v>
                </c:pt>
                <c:pt idx="3">
                  <c:v>45.101854402361042</c:v>
                </c:pt>
                <c:pt idx="4">
                  <c:v>45.101854402361042</c:v>
                </c:pt>
                <c:pt idx="5">
                  <c:v>45.101854402361042</c:v>
                </c:pt>
                <c:pt idx="6">
                  <c:v>45.846035000000001</c:v>
                </c:pt>
                <c:pt idx="7">
                  <c:v>45.846035000000001</c:v>
                </c:pt>
                <c:pt idx="8">
                  <c:v>48.622204373548776</c:v>
                </c:pt>
                <c:pt idx="9">
                  <c:v>47.177094983589498</c:v>
                </c:pt>
                <c:pt idx="10">
                  <c:v>41.468341997255557</c:v>
                </c:pt>
                <c:pt idx="11">
                  <c:v>31.454176125174268</c:v>
                </c:pt>
                <c:pt idx="12">
                  <c:v>45.117700079301009</c:v>
                </c:pt>
                <c:pt idx="13">
                  <c:v>60.456925599785727</c:v>
                </c:pt>
                <c:pt idx="14">
                  <c:v>58.586120201183711</c:v>
                </c:pt>
                <c:pt idx="15">
                  <c:v>56.018024237731488</c:v>
                </c:pt>
                <c:pt idx="16">
                  <c:v>47.886607536472944</c:v>
                </c:pt>
                <c:pt idx="17">
                  <c:v>40.001653468165692</c:v>
                </c:pt>
                <c:pt idx="18">
                  <c:v>38.870480597541665</c:v>
                </c:pt>
                <c:pt idx="19">
                  <c:v>36.206456964571984</c:v>
                </c:pt>
                <c:pt idx="20">
                  <c:v>38.197669226912296</c:v>
                </c:pt>
                <c:pt idx="21">
                  <c:v>35.50045788496903</c:v>
                </c:pt>
              </c:numCache>
            </c:numRef>
          </c:yVal>
        </c:ser>
        <c:axId val="157895296"/>
        <c:axId val="157909376"/>
      </c:scatterChart>
      <c:valAx>
        <c:axId val="157895296"/>
        <c:scaling>
          <c:orientation val="minMax"/>
        </c:scaling>
        <c:axPos val="b"/>
        <c:majorGridlines/>
        <c:numFmt formatCode="General" sourceLinked="1"/>
        <c:tickLblPos val="nextTo"/>
        <c:crossAx val="157909376"/>
        <c:crosses val="autoZero"/>
        <c:crossBetween val="midCat"/>
      </c:valAx>
      <c:valAx>
        <c:axId val="157909376"/>
        <c:scaling>
          <c:orientation val="minMax"/>
          <c:max val="2500"/>
        </c:scaling>
        <c:axPos val="l"/>
        <c:majorGridlines/>
        <c:numFmt formatCode="&quot;$&quot;#,##0" sourceLinked="0"/>
        <c:tickLblPos val="nextTo"/>
        <c:crossAx val="157895296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56781325676831862"/>
          <c:y val="0.10442703613454968"/>
          <c:w val="0.41367845593887026"/>
          <c:h val="0.83303757107087961"/>
        </c:manualLayout>
      </c:layout>
    </c:legend>
    <c:plotVisOnly val="1"/>
  </c:chart>
  <c:printSettings>
    <c:headerFooter/>
    <c:pageMargins b="0.75000000000000711" l="0.70000000000000062" r="0.70000000000000062" t="0.7500000000000071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 sz="1600"/>
              <a:t>Revenue and Expenditures in millions of 2014$</a:t>
            </a:r>
          </a:p>
        </c:rich>
      </c:tx>
      <c:layout/>
    </c:title>
    <c:plotArea>
      <c:layout/>
      <c:scatterChart>
        <c:scatterStyle val="lineMarker"/>
        <c:ser>
          <c:idx val="14"/>
          <c:order val="0"/>
          <c:tx>
            <c:strRef>
              <c:f>'Rev and Major Expenditures'!$A$16</c:f>
              <c:strCache>
                <c:ptCount val="1"/>
                <c:pt idx="0">
                  <c:v>Total revenue</c:v>
                </c:pt>
              </c:strCache>
            </c:strRef>
          </c:tx>
          <c:marker>
            <c:symbol val="none"/>
          </c:marker>
          <c:xVal>
            <c:numRef>
              <c:f>'Rev and Major Expenditures'!$D$4:$Y$4</c:f>
              <c:numCache>
                <c:formatCode>General</c:formatCode>
                <c:ptCount val="22"/>
                <c:pt idx="0">
                  <c:v>2017</c:v>
                </c:pt>
                <c:pt idx="1">
                  <c:v>2016</c:v>
                </c:pt>
                <c:pt idx="2">
                  <c:v>2016</c:v>
                </c:pt>
                <c:pt idx="3">
                  <c:v>2015</c:v>
                </c:pt>
                <c:pt idx="4">
                  <c:v>2015</c:v>
                </c:pt>
                <c:pt idx="5">
                  <c:v>2015</c:v>
                </c:pt>
                <c:pt idx="6">
                  <c:v>2014</c:v>
                </c:pt>
                <c:pt idx="7">
                  <c:v>2014</c:v>
                </c:pt>
                <c:pt idx="8">
                  <c:v>2013</c:v>
                </c:pt>
                <c:pt idx="9">
                  <c:v>2012</c:v>
                </c:pt>
                <c:pt idx="10">
                  <c:v>2011</c:v>
                </c:pt>
                <c:pt idx="11">
                  <c:v>2010</c:v>
                </c:pt>
                <c:pt idx="12">
                  <c:v>2009</c:v>
                </c:pt>
                <c:pt idx="13">
                  <c:v>2008</c:v>
                </c:pt>
                <c:pt idx="14">
                  <c:v>2007</c:v>
                </c:pt>
                <c:pt idx="15">
                  <c:v>2006</c:v>
                </c:pt>
                <c:pt idx="16">
                  <c:v>2005</c:v>
                </c:pt>
                <c:pt idx="17">
                  <c:v>2004</c:v>
                </c:pt>
                <c:pt idx="18">
                  <c:v>2003</c:v>
                </c:pt>
                <c:pt idx="19">
                  <c:v>2002</c:v>
                </c:pt>
                <c:pt idx="20">
                  <c:v>2001</c:v>
                </c:pt>
                <c:pt idx="21">
                  <c:v>2000</c:v>
                </c:pt>
              </c:numCache>
            </c:numRef>
          </c:xVal>
          <c:yVal>
            <c:numRef>
              <c:f>'Rev and Major Expenditures'!$D$16:$Y$16</c:f>
              <c:numCache>
                <c:formatCode>"$"#,##0.00;"$"\-#,##0.00</c:formatCode>
                <c:ptCount val="22"/>
                <c:pt idx="0">
                  <c:v>3840.6430523212171</c:v>
                </c:pt>
                <c:pt idx="1">
                  <c:v>3687.806050147964</c:v>
                </c:pt>
                <c:pt idx="2">
                  <c:v>3684.7793841361745</c:v>
                </c:pt>
                <c:pt idx="3">
                  <c:v>3677.1900865715684</c:v>
                </c:pt>
                <c:pt idx="4">
                  <c:v>3640.9627043777673</c:v>
                </c:pt>
                <c:pt idx="5">
                  <c:v>3648.3654618789969</c:v>
                </c:pt>
                <c:pt idx="6">
                  <c:v>3586.1076659999994</c:v>
                </c:pt>
                <c:pt idx="7">
                  <c:v>3584.3278740000001</c:v>
                </c:pt>
                <c:pt idx="8">
                  <c:v>3554.8419791106799</c:v>
                </c:pt>
                <c:pt idx="9">
                  <c:v>3484.8165391833249</c:v>
                </c:pt>
                <c:pt idx="10">
                  <c:v>3495.1816223970491</c:v>
                </c:pt>
                <c:pt idx="11">
                  <c:v>3637.6456090215634</c:v>
                </c:pt>
                <c:pt idx="12">
                  <c:v>3676.4076991923912</c:v>
                </c:pt>
                <c:pt idx="13">
                  <c:v>3623.684608394366</c:v>
                </c:pt>
                <c:pt idx="14">
                  <c:v>3695.4470790910655</c:v>
                </c:pt>
                <c:pt idx="15">
                  <c:v>3643.4017546169202</c:v>
                </c:pt>
                <c:pt idx="16">
                  <c:v>3434.5549927725624</c:v>
                </c:pt>
                <c:pt idx="17">
                  <c:v>3298.4098869914046</c:v>
                </c:pt>
                <c:pt idx="18">
                  <c:v>3176.3868442935341</c:v>
                </c:pt>
                <c:pt idx="19">
                  <c:v>3027.0551586599813</c:v>
                </c:pt>
                <c:pt idx="20">
                  <c:v>2862.4541904162288</c:v>
                </c:pt>
                <c:pt idx="21">
                  <c:v>2739.0452598019688</c:v>
                </c:pt>
              </c:numCache>
            </c:numRef>
          </c:yVal>
        </c:ser>
        <c:ser>
          <c:idx val="25"/>
          <c:order val="1"/>
          <c:tx>
            <c:strRef>
              <c:f>'Rev and Major Expenditures'!$A$30</c:f>
              <c:strCache>
                <c:ptCount val="1"/>
                <c:pt idx="0">
                  <c:v>Total expenditures</c:v>
                </c:pt>
              </c:strCache>
            </c:strRef>
          </c:tx>
          <c:marker>
            <c:symbol val="none"/>
          </c:marker>
          <c:xVal>
            <c:numRef>
              <c:f>'Rev and Major Expenditures'!$D$4:$Y$4</c:f>
              <c:numCache>
                <c:formatCode>General</c:formatCode>
                <c:ptCount val="22"/>
                <c:pt idx="0">
                  <c:v>2017</c:v>
                </c:pt>
                <c:pt idx="1">
                  <c:v>2016</c:v>
                </c:pt>
                <c:pt idx="2">
                  <c:v>2016</c:v>
                </c:pt>
                <c:pt idx="3">
                  <c:v>2015</c:v>
                </c:pt>
                <c:pt idx="4">
                  <c:v>2015</c:v>
                </c:pt>
                <c:pt idx="5">
                  <c:v>2015</c:v>
                </c:pt>
                <c:pt idx="6">
                  <c:v>2014</c:v>
                </c:pt>
                <c:pt idx="7">
                  <c:v>2014</c:v>
                </c:pt>
                <c:pt idx="8">
                  <c:v>2013</c:v>
                </c:pt>
                <c:pt idx="9">
                  <c:v>2012</c:v>
                </c:pt>
                <c:pt idx="10">
                  <c:v>2011</c:v>
                </c:pt>
                <c:pt idx="11">
                  <c:v>2010</c:v>
                </c:pt>
                <c:pt idx="12">
                  <c:v>2009</c:v>
                </c:pt>
                <c:pt idx="13">
                  <c:v>2008</c:v>
                </c:pt>
                <c:pt idx="14">
                  <c:v>2007</c:v>
                </c:pt>
                <c:pt idx="15">
                  <c:v>2006</c:v>
                </c:pt>
                <c:pt idx="16">
                  <c:v>2005</c:v>
                </c:pt>
                <c:pt idx="17">
                  <c:v>2004</c:v>
                </c:pt>
                <c:pt idx="18">
                  <c:v>2003</c:v>
                </c:pt>
                <c:pt idx="19">
                  <c:v>2002</c:v>
                </c:pt>
                <c:pt idx="20">
                  <c:v>2001</c:v>
                </c:pt>
                <c:pt idx="21">
                  <c:v>2000</c:v>
                </c:pt>
              </c:numCache>
            </c:numRef>
          </c:xVal>
          <c:yVal>
            <c:numRef>
              <c:f>'Rev and Major Expenditures'!$D$30:$Y$30</c:f>
              <c:numCache>
                <c:formatCode>"$"#,##0.00;"$"\-#,##0.00</c:formatCode>
                <c:ptCount val="22"/>
                <c:pt idx="0">
                  <c:v>3821.6058567122245</c:v>
                </c:pt>
                <c:pt idx="1">
                  <c:v>3696.5555012243867</c:v>
                </c:pt>
                <c:pt idx="2">
                  <c:v>3690.6811859120385</c:v>
                </c:pt>
                <c:pt idx="3">
                  <c:v>3680.7548184948355</c:v>
                </c:pt>
                <c:pt idx="4">
                  <c:v>3718.805336940482</c:v>
                </c:pt>
                <c:pt idx="5">
                  <c:v>3656.0393261190356</c:v>
                </c:pt>
                <c:pt idx="6">
                  <c:v>3636.3947710000002</c:v>
                </c:pt>
                <c:pt idx="7">
                  <c:v>3663.4715470000001</c:v>
                </c:pt>
                <c:pt idx="8">
                  <c:v>3588.7860301604837</c:v>
                </c:pt>
                <c:pt idx="9">
                  <c:v>3519.5623093045092</c:v>
                </c:pt>
                <c:pt idx="10">
                  <c:v>3507.9163956456623</c:v>
                </c:pt>
                <c:pt idx="11">
                  <c:v>3591.2125060749067</c:v>
                </c:pt>
                <c:pt idx="12">
                  <c:v>3699.5715347919026</c:v>
                </c:pt>
                <c:pt idx="13">
                  <c:v>3651.542496645844</c:v>
                </c:pt>
                <c:pt idx="14">
                  <c:v>3680.7187217696887</c:v>
                </c:pt>
                <c:pt idx="15">
                  <c:v>3656.6078374228196</c:v>
                </c:pt>
                <c:pt idx="16">
                  <c:v>3406.0431943402796</c:v>
                </c:pt>
                <c:pt idx="17">
                  <c:v>3258.2388148959717</c:v>
                </c:pt>
                <c:pt idx="18">
                  <c:v>3150.1406247099676</c:v>
                </c:pt>
                <c:pt idx="19">
                  <c:v>3019.4425236266375</c:v>
                </c:pt>
                <c:pt idx="20">
                  <c:v>2877.9680621536418</c:v>
                </c:pt>
                <c:pt idx="21">
                  <c:v>2750.2924658515003</c:v>
                </c:pt>
              </c:numCache>
            </c:numRef>
          </c:yVal>
        </c:ser>
        <c:axId val="157584384"/>
        <c:axId val="157918720"/>
      </c:scatterChart>
      <c:valAx>
        <c:axId val="157584384"/>
        <c:scaling>
          <c:orientation val="minMax"/>
        </c:scaling>
        <c:axPos val="b"/>
        <c:majorGridlines/>
        <c:numFmt formatCode="General" sourceLinked="1"/>
        <c:tickLblPos val="nextTo"/>
        <c:crossAx val="157918720"/>
        <c:crosses val="autoZero"/>
        <c:crossBetween val="midCat"/>
      </c:valAx>
      <c:valAx>
        <c:axId val="157918720"/>
        <c:scaling>
          <c:orientation val="minMax"/>
        </c:scaling>
        <c:axPos val="l"/>
        <c:majorGridlines/>
        <c:numFmt formatCode="&quot;$&quot;#,##0.00;&quot;$&quot;\-#,##0.00" sourceLinked="1"/>
        <c:tickLblPos val="nextTo"/>
        <c:crossAx val="157584384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5000000000000622" l="0.70000000000000062" r="0.70000000000000062" t="0.7500000000000062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Non-School Expenditures, 2014$ in Millions</a:t>
            </a:r>
          </a:p>
        </c:rich>
      </c:tx>
      <c:layout/>
    </c:title>
    <c:plotArea>
      <c:layout>
        <c:manualLayout>
          <c:layoutTarget val="inner"/>
          <c:xMode val="edge"/>
          <c:yMode val="edge"/>
          <c:x val="8.0958352550843077E-2"/>
          <c:y val="0.1274101646385111"/>
          <c:w val="0.49249483280914197"/>
          <c:h val="0.75725888809353425"/>
        </c:manualLayout>
      </c:layout>
      <c:scatterChart>
        <c:scatterStyle val="lineMarker"/>
        <c:ser>
          <c:idx val="1"/>
          <c:order val="0"/>
          <c:tx>
            <c:strRef>
              <c:f>'Rev and Major Expenditures'!$A$21</c:f>
              <c:strCache>
                <c:ptCount val="1"/>
                <c:pt idx="0">
                  <c:v>Personnel Services</c:v>
                </c:pt>
              </c:strCache>
            </c:strRef>
          </c:tx>
          <c:marker>
            <c:symbol val="square"/>
            <c:size val="3"/>
          </c:marker>
          <c:xVal>
            <c:numRef>
              <c:f>'Rev and Major Expenditures'!$D$18:$Y$18</c:f>
              <c:numCache>
                <c:formatCode>General</c:formatCode>
                <c:ptCount val="22"/>
                <c:pt idx="0">
                  <c:v>2017</c:v>
                </c:pt>
                <c:pt idx="1">
                  <c:v>2016</c:v>
                </c:pt>
                <c:pt idx="2">
                  <c:v>2016</c:v>
                </c:pt>
                <c:pt idx="3">
                  <c:v>2015</c:v>
                </c:pt>
                <c:pt idx="4">
                  <c:v>2015</c:v>
                </c:pt>
                <c:pt idx="5">
                  <c:v>2015</c:v>
                </c:pt>
                <c:pt idx="6">
                  <c:v>2014</c:v>
                </c:pt>
                <c:pt idx="7">
                  <c:v>2014</c:v>
                </c:pt>
                <c:pt idx="8">
                  <c:v>2013</c:v>
                </c:pt>
                <c:pt idx="9">
                  <c:v>2012</c:v>
                </c:pt>
                <c:pt idx="10">
                  <c:v>2011</c:v>
                </c:pt>
                <c:pt idx="11">
                  <c:v>2010</c:v>
                </c:pt>
                <c:pt idx="12">
                  <c:v>2009</c:v>
                </c:pt>
                <c:pt idx="13">
                  <c:v>2008</c:v>
                </c:pt>
                <c:pt idx="14">
                  <c:v>2007</c:v>
                </c:pt>
                <c:pt idx="15">
                  <c:v>2006</c:v>
                </c:pt>
                <c:pt idx="16">
                  <c:v>2005</c:v>
                </c:pt>
                <c:pt idx="17">
                  <c:v>2004</c:v>
                </c:pt>
                <c:pt idx="18">
                  <c:v>2003</c:v>
                </c:pt>
                <c:pt idx="19">
                  <c:v>2002</c:v>
                </c:pt>
                <c:pt idx="20">
                  <c:v>2001</c:v>
                </c:pt>
                <c:pt idx="21">
                  <c:v>2000</c:v>
                </c:pt>
              </c:numCache>
            </c:numRef>
          </c:xVal>
          <c:yVal>
            <c:numRef>
              <c:f>'Rev and Major Expenditures'!$D$21:$Y$21</c:f>
              <c:numCache>
                <c:formatCode>"$"#,##0.00;"$"\-#,##0.00</c:formatCode>
                <c:ptCount val="22"/>
                <c:pt idx="0">
                  <c:v>771.81601010434042</c:v>
                </c:pt>
                <c:pt idx="1">
                  <c:v>748.63759865804968</c:v>
                </c:pt>
                <c:pt idx="2">
                  <c:v>745.28067602705858</c:v>
                </c:pt>
                <c:pt idx="3">
                  <c:v>722.65392818494831</c:v>
                </c:pt>
                <c:pt idx="4">
                  <c:v>738.82334972946387</c:v>
                </c:pt>
                <c:pt idx="5">
                  <c:v>739.85801770782098</c:v>
                </c:pt>
                <c:pt idx="6">
                  <c:v>712.590507</c:v>
                </c:pt>
                <c:pt idx="7">
                  <c:v>731.82869300000004</c:v>
                </c:pt>
                <c:pt idx="8">
                  <c:v>706.91942663400243</c:v>
                </c:pt>
                <c:pt idx="9">
                  <c:v>696.2911296482913</c:v>
                </c:pt>
                <c:pt idx="10">
                  <c:v>695.41070981064297</c:v>
                </c:pt>
                <c:pt idx="11">
                  <c:v>731.38535979865662</c:v>
                </c:pt>
                <c:pt idx="12">
                  <c:v>766.59330094116092</c:v>
                </c:pt>
                <c:pt idx="13">
                  <c:v>750.69858493534457</c:v>
                </c:pt>
                <c:pt idx="14">
                  <c:v>739.54641382988655</c:v>
                </c:pt>
                <c:pt idx="15">
                  <c:v>703.8458925920346</c:v>
                </c:pt>
                <c:pt idx="16">
                  <c:v>670.17129159997273</c:v>
                </c:pt>
                <c:pt idx="17">
                  <c:v>659.06964683350543</c:v>
                </c:pt>
                <c:pt idx="18">
                  <c:v>650.70801798846651</c:v>
                </c:pt>
                <c:pt idx="19">
                  <c:v>628.632431788541</c:v>
                </c:pt>
                <c:pt idx="20">
                  <c:v>602.74722214121778</c:v>
                </c:pt>
                <c:pt idx="21">
                  <c:v>574.68994409234529</c:v>
                </c:pt>
              </c:numCache>
            </c:numRef>
          </c:yVal>
        </c:ser>
        <c:ser>
          <c:idx val="2"/>
          <c:order val="1"/>
          <c:tx>
            <c:strRef>
              <c:f>'Rev and Major Expenditures'!$A$22</c:f>
              <c:strCache>
                <c:ptCount val="1"/>
                <c:pt idx="0">
                  <c:v>Operating Expenses</c:v>
                </c:pt>
              </c:strCache>
            </c:strRef>
          </c:tx>
          <c:marker>
            <c:symbol val="square"/>
            <c:size val="3"/>
          </c:marker>
          <c:xVal>
            <c:numRef>
              <c:f>'Rev and Major Expenditures'!$D$18:$Y$18</c:f>
              <c:numCache>
                <c:formatCode>General</c:formatCode>
                <c:ptCount val="22"/>
                <c:pt idx="0">
                  <c:v>2017</c:v>
                </c:pt>
                <c:pt idx="1">
                  <c:v>2016</c:v>
                </c:pt>
                <c:pt idx="2">
                  <c:v>2016</c:v>
                </c:pt>
                <c:pt idx="3">
                  <c:v>2015</c:v>
                </c:pt>
                <c:pt idx="4">
                  <c:v>2015</c:v>
                </c:pt>
                <c:pt idx="5">
                  <c:v>2015</c:v>
                </c:pt>
                <c:pt idx="6">
                  <c:v>2014</c:v>
                </c:pt>
                <c:pt idx="7">
                  <c:v>2014</c:v>
                </c:pt>
                <c:pt idx="8">
                  <c:v>2013</c:v>
                </c:pt>
                <c:pt idx="9">
                  <c:v>2012</c:v>
                </c:pt>
                <c:pt idx="10">
                  <c:v>2011</c:v>
                </c:pt>
                <c:pt idx="11">
                  <c:v>2010</c:v>
                </c:pt>
                <c:pt idx="12">
                  <c:v>2009</c:v>
                </c:pt>
                <c:pt idx="13">
                  <c:v>2008</c:v>
                </c:pt>
                <c:pt idx="14">
                  <c:v>2007</c:v>
                </c:pt>
                <c:pt idx="15">
                  <c:v>2006</c:v>
                </c:pt>
                <c:pt idx="16">
                  <c:v>2005</c:v>
                </c:pt>
                <c:pt idx="17">
                  <c:v>2004</c:v>
                </c:pt>
                <c:pt idx="18">
                  <c:v>2003</c:v>
                </c:pt>
                <c:pt idx="19">
                  <c:v>2002</c:v>
                </c:pt>
                <c:pt idx="20">
                  <c:v>2001</c:v>
                </c:pt>
                <c:pt idx="21">
                  <c:v>2000</c:v>
                </c:pt>
              </c:numCache>
            </c:numRef>
          </c:xVal>
          <c:yVal>
            <c:numRef>
              <c:f>'Rev and Major Expenditures'!$D$22:$Y$22</c:f>
              <c:numCache>
                <c:formatCode>"$"#,##0.00;"$"\-#,##0.00</c:formatCode>
                <c:ptCount val="22"/>
                <c:pt idx="0">
                  <c:v>336.35283680099565</c:v>
                </c:pt>
                <c:pt idx="1">
                  <c:v>331.42731066279964</c:v>
                </c:pt>
                <c:pt idx="2">
                  <c:v>329.98752942411841</c:v>
                </c:pt>
                <c:pt idx="3">
                  <c:v>333.06777963600587</c:v>
                </c:pt>
                <c:pt idx="4">
                  <c:v>374.17654599114604</c:v>
                </c:pt>
                <c:pt idx="5">
                  <c:v>338.12227545499258</c:v>
                </c:pt>
                <c:pt idx="6">
                  <c:v>332.69027</c:v>
                </c:pt>
                <c:pt idx="7">
                  <c:v>372.04322500000001</c:v>
                </c:pt>
                <c:pt idx="8">
                  <c:v>340.22603300587986</c:v>
                </c:pt>
                <c:pt idx="9">
                  <c:v>357.92089935752432</c:v>
                </c:pt>
                <c:pt idx="10">
                  <c:v>349.14842315909198</c:v>
                </c:pt>
                <c:pt idx="11">
                  <c:v>355.90348752287179</c:v>
                </c:pt>
                <c:pt idx="12">
                  <c:v>405.36851778355486</c:v>
                </c:pt>
                <c:pt idx="13">
                  <c:v>397.74621031647496</c:v>
                </c:pt>
                <c:pt idx="14">
                  <c:v>399.32666686549925</c:v>
                </c:pt>
                <c:pt idx="15">
                  <c:v>403.14304181448915</c:v>
                </c:pt>
                <c:pt idx="16">
                  <c:v>405.71400711518777</c:v>
                </c:pt>
                <c:pt idx="17">
                  <c:v>386.20711879317628</c:v>
                </c:pt>
                <c:pt idx="18">
                  <c:v>395.81090262415404</c:v>
                </c:pt>
                <c:pt idx="19">
                  <c:v>383.97861152635352</c:v>
                </c:pt>
                <c:pt idx="20">
                  <c:v>365.55165363749296</c:v>
                </c:pt>
                <c:pt idx="21">
                  <c:v>370.02465551135123</c:v>
                </c:pt>
              </c:numCache>
            </c:numRef>
          </c:yVal>
        </c:ser>
        <c:ser>
          <c:idx val="3"/>
          <c:order val="2"/>
          <c:tx>
            <c:strRef>
              <c:f>'Rev and Major Expenditures'!$A$23</c:f>
              <c:strCache>
                <c:ptCount val="1"/>
                <c:pt idx="0">
                  <c:v>Non-school Fringe Benefits, including OPEB's</c:v>
                </c:pt>
              </c:strCache>
            </c:strRef>
          </c:tx>
          <c:marker>
            <c:symbol val="square"/>
            <c:size val="3"/>
          </c:marker>
          <c:xVal>
            <c:numRef>
              <c:f>'Rev and Major Expenditures'!$D$18:$Y$18</c:f>
              <c:numCache>
                <c:formatCode>General</c:formatCode>
                <c:ptCount val="22"/>
                <c:pt idx="0">
                  <c:v>2017</c:v>
                </c:pt>
                <c:pt idx="1">
                  <c:v>2016</c:v>
                </c:pt>
                <c:pt idx="2">
                  <c:v>2016</c:v>
                </c:pt>
                <c:pt idx="3">
                  <c:v>2015</c:v>
                </c:pt>
                <c:pt idx="4">
                  <c:v>2015</c:v>
                </c:pt>
                <c:pt idx="5">
                  <c:v>2015</c:v>
                </c:pt>
                <c:pt idx="6">
                  <c:v>2014</c:v>
                </c:pt>
                <c:pt idx="7">
                  <c:v>2014</c:v>
                </c:pt>
                <c:pt idx="8">
                  <c:v>2013</c:v>
                </c:pt>
                <c:pt idx="9">
                  <c:v>2012</c:v>
                </c:pt>
                <c:pt idx="10">
                  <c:v>2011</c:v>
                </c:pt>
                <c:pt idx="11">
                  <c:v>2010</c:v>
                </c:pt>
                <c:pt idx="12">
                  <c:v>2009</c:v>
                </c:pt>
                <c:pt idx="13">
                  <c:v>2008</c:v>
                </c:pt>
                <c:pt idx="14">
                  <c:v>2007</c:v>
                </c:pt>
                <c:pt idx="15">
                  <c:v>2006</c:v>
                </c:pt>
                <c:pt idx="16">
                  <c:v>2005</c:v>
                </c:pt>
                <c:pt idx="17">
                  <c:v>2004</c:v>
                </c:pt>
                <c:pt idx="18">
                  <c:v>2003</c:v>
                </c:pt>
                <c:pt idx="19">
                  <c:v>2002</c:v>
                </c:pt>
                <c:pt idx="20">
                  <c:v>2001</c:v>
                </c:pt>
                <c:pt idx="21">
                  <c:v>2000</c:v>
                </c:pt>
              </c:numCache>
            </c:numRef>
          </c:xVal>
          <c:yVal>
            <c:numRef>
              <c:f>'Rev and Major Expenditures'!$D$23:$Y$23</c:f>
              <c:numCache>
                <c:formatCode>"$"#,##0.00;"$"\-#,##0.00</c:formatCode>
                <c:ptCount val="22"/>
                <c:pt idx="0">
                  <c:v>356.34252308049446</c:v>
                </c:pt>
                <c:pt idx="1">
                  <c:v>352.60651391731466</c:v>
                </c:pt>
                <c:pt idx="2">
                  <c:v>352.33829999789498</c:v>
                </c:pt>
                <c:pt idx="3">
                  <c:v>330.73159075258235</c:v>
                </c:pt>
                <c:pt idx="4">
                  <c:v>337.63160846040336</c:v>
                </c:pt>
                <c:pt idx="5">
                  <c:v>336.45841219872113</c:v>
                </c:pt>
                <c:pt idx="6">
                  <c:v>316.40829400000001</c:v>
                </c:pt>
                <c:pt idx="7">
                  <c:v>328.65172699999999</c:v>
                </c:pt>
                <c:pt idx="8">
                  <c:v>315.95030703925721</c:v>
                </c:pt>
                <c:pt idx="9">
                  <c:v>296.79947879205787</c:v>
                </c:pt>
                <c:pt idx="10">
                  <c:v>260.85186683668474</c:v>
                </c:pt>
                <c:pt idx="11">
                  <c:v>219.05512258194531</c:v>
                </c:pt>
                <c:pt idx="12">
                  <c:v>219.92789441943427</c:v>
                </c:pt>
                <c:pt idx="13">
                  <c:v>229.5020698313927</c:v>
                </c:pt>
                <c:pt idx="14">
                  <c:v>224.38797820770756</c:v>
                </c:pt>
                <c:pt idx="15">
                  <c:v>198.51603319898152</c:v>
                </c:pt>
                <c:pt idx="16">
                  <c:v>189.92452921270694</c:v>
                </c:pt>
                <c:pt idx="17">
                  <c:v>170.31693386838717</c:v>
                </c:pt>
                <c:pt idx="18">
                  <c:v>167.50950533537412</c:v>
                </c:pt>
                <c:pt idx="19">
                  <c:v>147.8415057952335</c:v>
                </c:pt>
                <c:pt idx="20">
                  <c:v>147.67436855942782</c:v>
                </c:pt>
                <c:pt idx="21">
                  <c:v>132.87213839128728</c:v>
                </c:pt>
              </c:numCache>
            </c:numRef>
          </c:yVal>
        </c:ser>
        <c:ser>
          <c:idx val="4"/>
          <c:order val="3"/>
          <c:tx>
            <c:strRef>
              <c:f>'Rev and Major Expenditures'!$A$24</c:f>
              <c:strCache>
                <c:ptCount val="1"/>
                <c:pt idx="0">
                  <c:v>School Debt Service   </c:v>
                </c:pt>
              </c:strCache>
            </c:strRef>
          </c:tx>
          <c:marker>
            <c:symbol val="none"/>
          </c:marker>
          <c:xVal>
            <c:numRef>
              <c:f>'Rev and Major Expenditures'!$D$18:$Y$18</c:f>
              <c:numCache>
                <c:formatCode>General</c:formatCode>
                <c:ptCount val="22"/>
                <c:pt idx="0">
                  <c:v>2017</c:v>
                </c:pt>
                <c:pt idx="1">
                  <c:v>2016</c:v>
                </c:pt>
                <c:pt idx="2">
                  <c:v>2016</c:v>
                </c:pt>
                <c:pt idx="3">
                  <c:v>2015</c:v>
                </c:pt>
                <c:pt idx="4">
                  <c:v>2015</c:v>
                </c:pt>
                <c:pt idx="5">
                  <c:v>2015</c:v>
                </c:pt>
                <c:pt idx="6">
                  <c:v>2014</c:v>
                </c:pt>
                <c:pt idx="7">
                  <c:v>2014</c:v>
                </c:pt>
                <c:pt idx="8">
                  <c:v>2013</c:v>
                </c:pt>
                <c:pt idx="9">
                  <c:v>2012</c:v>
                </c:pt>
                <c:pt idx="10">
                  <c:v>2011</c:v>
                </c:pt>
                <c:pt idx="11">
                  <c:v>2010</c:v>
                </c:pt>
                <c:pt idx="12">
                  <c:v>2009</c:v>
                </c:pt>
                <c:pt idx="13">
                  <c:v>2008</c:v>
                </c:pt>
                <c:pt idx="14">
                  <c:v>2007</c:v>
                </c:pt>
                <c:pt idx="15">
                  <c:v>2006</c:v>
                </c:pt>
                <c:pt idx="16">
                  <c:v>2005</c:v>
                </c:pt>
                <c:pt idx="17">
                  <c:v>2004</c:v>
                </c:pt>
                <c:pt idx="18">
                  <c:v>2003</c:v>
                </c:pt>
                <c:pt idx="19">
                  <c:v>2002</c:v>
                </c:pt>
                <c:pt idx="20">
                  <c:v>2001</c:v>
                </c:pt>
                <c:pt idx="21">
                  <c:v>2000</c:v>
                </c:pt>
              </c:numCache>
            </c:numRef>
          </c:xVal>
          <c:yVal>
            <c:numRef>
              <c:f>'Rev and Major Expenditures'!$D$24:$Y$24</c:f>
              <c:numCache>
                <c:formatCode>"$"#,##0.00;"$"\-#,##0.00</c:formatCode>
                <c:ptCount val="22"/>
                <c:pt idx="0">
                  <c:v>131.03871445955571</c:v>
                </c:pt>
                <c:pt idx="1">
                  <c:v>123.67824259288875</c:v>
                </c:pt>
                <c:pt idx="2">
                  <c:v>123.67824259288875</c:v>
                </c:pt>
                <c:pt idx="3">
                  <c:v>131.57123167732414</c:v>
                </c:pt>
                <c:pt idx="4">
                  <c:v>131.57123167732414</c:v>
                </c:pt>
                <c:pt idx="5">
                  <c:v>131.57123167732414</c:v>
                </c:pt>
                <c:pt idx="6">
                  <c:v>118.79799199999999</c:v>
                </c:pt>
                <c:pt idx="7">
                  <c:v>118.79799199999999</c:v>
                </c:pt>
                <c:pt idx="8">
                  <c:v>118.7486904000136</c:v>
                </c:pt>
                <c:pt idx="9">
                  <c:v>120.41295096411962</c:v>
                </c:pt>
                <c:pt idx="10">
                  <c:v>128.0406445740004</c:v>
                </c:pt>
                <c:pt idx="11">
                  <c:v>120.43507898599061</c:v>
                </c:pt>
                <c:pt idx="12">
                  <c:v>124.87767300439087</c:v>
                </c:pt>
                <c:pt idx="13">
                  <c:v>124.66039788380486</c:v>
                </c:pt>
                <c:pt idx="14">
                  <c:v>126.38346856412514</c:v>
                </c:pt>
                <c:pt idx="15">
                  <c:v>115.91988025832427</c:v>
                </c:pt>
                <c:pt idx="16">
                  <c:v>119.65923123439923</c:v>
                </c:pt>
                <c:pt idx="17">
                  <c:v>123.37563099985178</c:v>
                </c:pt>
                <c:pt idx="18">
                  <c:v>128.77610012477086</c:v>
                </c:pt>
                <c:pt idx="19">
                  <c:v>128.97434523111176</c:v>
                </c:pt>
                <c:pt idx="20">
                  <c:v>126.54548923511108</c:v>
                </c:pt>
                <c:pt idx="21">
                  <c:v>130.07064493800814</c:v>
                </c:pt>
              </c:numCache>
            </c:numRef>
          </c:yVal>
        </c:ser>
        <c:ser>
          <c:idx val="5"/>
          <c:order val="4"/>
          <c:tx>
            <c:strRef>
              <c:f>'Rev and Major Expenditures'!$A$25</c:f>
              <c:strCache>
                <c:ptCount val="1"/>
                <c:pt idx="0">
                  <c:v>County Debt Service   </c:v>
                </c:pt>
              </c:strCache>
            </c:strRef>
          </c:tx>
          <c:marker>
            <c:symbol val="none"/>
          </c:marker>
          <c:xVal>
            <c:numRef>
              <c:f>'Rev and Major Expenditures'!$D$18:$Y$18</c:f>
              <c:numCache>
                <c:formatCode>General</c:formatCode>
                <c:ptCount val="22"/>
                <c:pt idx="0">
                  <c:v>2017</c:v>
                </c:pt>
                <c:pt idx="1">
                  <c:v>2016</c:v>
                </c:pt>
                <c:pt idx="2">
                  <c:v>2016</c:v>
                </c:pt>
                <c:pt idx="3">
                  <c:v>2015</c:v>
                </c:pt>
                <c:pt idx="4">
                  <c:v>2015</c:v>
                </c:pt>
                <c:pt idx="5">
                  <c:v>2015</c:v>
                </c:pt>
                <c:pt idx="6">
                  <c:v>2014</c:v>
                </c:pt>
                <c:pt idx="7">
                  <c:v>2014</c:v>
                </c:pt>
                <c:pt idx="8">
                  <c:v>2013</c:v>
                </c:pt>
                <c:pt idx="9">
                  <c:v>2012</c:v>
                </c:pt>
                <c:pt idx="10">
                  <c:v>2011</c:v>
                </c:pt>
                <c:pt idx="11">
                  <c:v>2010</c:v>
                </c:pt>
                <c:pt idx="12">
                  <c:v>2009</c:v>
                </c:pt>
                <c:pt idx="13">
                  <c:v>2008</c:v>
                </c:pt>
                <c:pt idx="14">
                  <c:v>2007</c:v>
                </c:pt>
                <c:pt idx="15">
                  <c:v>2006</c:v>
                </c:pt>
                <c:pt idx="16">
                  <c:v>2005</c:v>
                </c:pt>
                <c:pt idx="17">
                  <c:v>2004</c:v>
                </c:pt>
                <c:pt idx="18">
                  <c:v>2003</c:v>
                </c:pt>
                <c:pt idx="19">
                  <c:v>2002</c:v>
                </c:pt>
                <c:pt idx="20">
                  <c:v>2001</c:v>
                </c:pt>
                <c:pt idx="21">
                  <c:v>2000</c:v>
                </c:pt>
              </c:numCache>
            </c:numRef>
          </c:xVal>
          <c:yVal>
            <c:numRef>
              <c:f>'Rev and Major Expenditures'!$D$25:$Y$25</c:f>
              <c:numCache>
                <c:formatCode>"$"#,##0.00;"$"\-#,##0.00</c:formatCode>
                <c:ptCount val="22"/>
                <c:pt idx="0">
                  <c:v>181.93675193512934</c:v>
                </c:pt>
                <c:pt idx="1">
                  <c:v>181.13084620244086</c:v>
                </c:pt>
                <c:pt idx="2">
                  <c:v>181.13084620244086</c:v>
                </c:pt>
                <c:pt idx="3">
                  <c:v>174.26579045745203</c:v>
                </c:pt>
                <c:pt idx="4">
                  <c:v>174.26579045745203</c:v>
                </c:pt>
                <c:pt idx="5">
                  <c:v>174.26579045745203</c:v>
                </c:pt>
                <c:pt idx="6">
                  <c:v>172.367649</c:v>
                </c:pt>
                <c:pt idx="7">
                  <c:v>172.367649</c:v>
                </c:pt>
                <c:pt idx="8">
                  <c:v>167.42979094911115</c:v>
                </c:pt>
                <c:pt idx="9">
                  <c:v>164.70890386654696</c:v>
                </c:pt>
                <c:pt idx="10">
                  <c:v>168.6110833994332</c:v>
                </c:pt>
                <c:pt idx="11">
                  <c:v>177.79740862163311</c:v>
                </c:pt>
                <c:pt idx="12">
                  <c:v>170.63380717077163</c:v>
                </c:pt>
                <c:pt idx="13">
                  <c:v>162.57786836811999</c:v>
                </c:pt>
                <c:pt idx="14">
                  <c:v>162.43841003949674</c:v>
                </c:pt>
                <c:pt idx="15">
                  <c:v>152.987745057648</c:v>
                </c:pt>
                <c:pt idx="16">
                  <c:v>153.37309904258493</c:v>
                </c:pt>
                <c:pt idx="17">
                  <c:v>151.51206528821336</c:v>
                </c:pt>
                <c:pt idx="18">
                  <c:v>146.16500200514224</c:v>
                </c:pt>
                <c:pt idx="19">
                  <c:v>138.86820891804336</c:v>
                </c:pt>
                <c:pt idx="20">
                  <c:v>127.32514123515811</c:v>
                </c:pt>
                <c:pt idx="21">
                  <c:v>122.98720737915025</c:v>
                </c:pt>
              </c:numCache>
            </c:numRef>
          </c:yVal>
        </c:ser>
        <c:ser>
          <c:idx val="6"/>
          <c:order val="5"/>
          <c:tx>
            <c:strRef>
              <c:f>'Rev and Major Expenditures'!$A$26</c:f>
              <c:strCache>
                <c:ptCount val="1"/>
                <c:pt idx="0">
                  <c:v>Fairfax-Falls Church Community Services Board and other welfare programs</c:v>
                </c:pt>
              </c:strCache>
            </c:strRef>
          </c:tx>
          <c:marker>
            <c:symbol val="none"/>
          </c:marker>
          <c:xVal>
            <c:numRef>
              <c:f>'Rev and Major Expenditures'!$D$18:$Y$18</c:f>
              <c:numCache>
                <c:formatCode>General</c:formatCode>
                <c:ptCount val="22"/>
                <c:pt idx="0">
                  <c:v>2017</c:v>
                </c:pt>
                <c:pt idx="1">
                  <c:v>2016</c:v>
                </c:pt>
                <c:pt idx="2">
                  <c:v>2016</c:v>
                </c:pt>
                <c:pt idx="3">
                  <c:v>2015</c:v>
                </c:pt>
                <c:pt idx="4">
                  <c:v>2015</c:v>
                </c:pt>
                <c:pt idx="5">
                  <c:v>2015</c:v>
                </c:pt>
                <c:pt idx="6">
                  <c:v>2014</c:v>
                </c:pt>
                <c:pt idx="7">
                  <c:v>2014</c:v>
                </c:pt>
                <c:pt idx="8">
                  <c:v>2013</c:v>
                </c:pt>
                <c:pt idx="9">
                  <c:v>2012</c:v>
                </c:pt>
                <c:pt idx="10">
                  <c:v>2011</c:v>
                </c:pt>
                <c:pt idx="11">
                  <c:v>2010</c:v>
                </c:pt>
                <c:pt idx="12">
                  <c:v>2009</c:v>
                </c:pt>
                <c:pt idx="13">
                  <c:v>2008</c:v>
                </c:pt>
                <c:pt idx="14">
                  <c:v>2007</c:v>
                </c:pt>
                <c:pt idx="15">
                  <c:v>2006</c:v>
                </c:pt>
                <c:pt idx="16">
                  <c:v>2005</c:v>
                </c:pt>
                <c:pt idx="17">
                  <c:v>2004</c:v>
                </c:pt>
                <c:pt idx="18">
                  <c:v>2003</c:v>
                </c:pt>
                <c:pt idx="19">
                  <c:v>2002</c:v>
                </c:pt>
                <c:pt idx="20">
                  <c:v>2001</c:v>
                </c:pt>
                <c:pt idx="21">
                  <c:v>2000</c:v>
                </c:pt>
              </c:numCache>
            </c:numRef>
          </c:xVal>
          <c:yVal>
            <c:numRef>
              <c:f>'Rev and Major Expenditures'!$D$26:$Y$26</c:f>
              <c:numCache>
                <c:formatCode>"$"#,##0.00;"$"\-#,##0.00</c:formatCode>
                <c:ptCount val="22"/>
                <c:pt idx="0">
                  <c:v>119.59419731492321</c:v>
                </c:pt>
                <c:pt idx="1">
                  <c:v>113.60524489068588</c:v>
                </c:pt>
                <c:pt idx="2">
                  <c:v>113.02830691523943</c:v>
                </c:pt>
                <c:pt idx="3">
                  <c:v>112.20452336448598</c:v>
                </c:pt>
                <c:pt idx="4">
                  <c:v>113.31618101328087</c:v>
                </c:pt>
                <c:pt idx="5">
                  <c:v>113.31618101328087</c:v>
                </c:pt>
                <c:pt idx="6">
                  <c:v>111.94530499999999</c:v>
                </c:pt>
                <c:pt idx="7">
                  <c:v>111.90549300000001</c:v>
                </c:pt>
                <c:pt idx="8">
                  <c:v>114.54101107918947</c:v>
                </c:pt>
                <c:pt idx="9">
                  <c:v>106.51322287345374</c:v>
                </c:pt>
                <c:pt idx="10">
                  <c:v>103.76355016456822</c:v>
                </c:pt>
                <c:pt idx="11">
                  <c:v>109.01840526021297</c:v>
                </c:pt>
                <c:pt idx="12">
                  <c:v>118.8449819558266</c:v>
                </c:pt>
                <c:pt idx="13">
                  <c:v>116.70757104492121</c:v>
                </c:pt>
                <c:pt idx="14">
                  <c:v>119.26100759770091</c:v>
                </c:pt>
                <c:pt idx="15">
                  <c:v>133.74425706130293</c:v>
                </c:pt>
                <c:pt idx="16">
                  <c:v>112.07638999105309</c:v>
                </c:pt>
                <c:pt idx="17">
                  <c:v>107.88630318987823</c:v>
                </c:pt>
                <c:pt idx="18">
                  <c:v>106.75649987056251</c:v>
                </c:pt>
                <c:pt idx="19">
                  <c:v>104.71070808173337</c:v>
                </c:pt>
                <c:pt idx="20">
                  <c:v>100.76610102410127</c:v>
                </c:pt>
                <c:pt idx="21">
                  <c:v>84.578606535296188</c:v>
                </c:pt>
              </c:numCache>
            </c:numRef>
          </c:yVal>
        </c:ser>
        <c:ser>
          <c:idx val="7"/>
          <c:order val="6"/>
          <c:tx>
            <c:strRef>
              <c:f>'Rev and Major Expenditures'!$A$27</c:f>
              <c:strCache>
                <c:ptCount val="1"/>
                <c:pt idx="0">
                  <c:v>County Transit Systems   </c:v>
                </c:pt>
              </c:strCache>
            </c:strRef>
          </c:tx>
          <c:marker>
            <c:symbol val="none"/>
          </c:marker>
          <c:xVal>
            <c:numRef>
              <c:f>'Rev and Major Expenditures'!$D$18:$Y$18</c:f>
              <c:numCache>
                <c:formatCode>General</c:formatCode>
                <c:ptCount val="22"/>
                <c:pt idx="0">
                  <c:v>2017</c:v>
                </c:pt>
                <c:pt idx="1">
                  <c:v>2016</c:v>
                </c:pt>
                <c:pt idx="2">
                  <c:v>2016</c:v>
                </c:pt>
                <c:pt idx="3">
                  <c:v>2015</c:v>
                </c:pt>
                <c:pt idx="4">
                  <c:v>2015</c:v>
                </c:pt>
                <c:pt idx="5">
                  <c:v>2015</c:v>
                </c:pt>
                <c:pt idx="6">
                  <c:v>2014</c:v>
                </c:pt>
                <c:pt idx="7">
                  <c:v>2014</c:v>
                </c:pt>
                <c:pt idx="8">
                  <c:v>2013</c:v>
                </c:pt>
                <c:pt idx="9">
                  <c:v>2012</c:v>
                </c:pt>
                <c:pt idx="10">
                  <c:v>2011</c:v>
                </c:pt>
                <c:pt idx="11">
                  <c:v>2010</c:v>
                </c:pt>
                <c:pt idx="12">
                  <c:v>2009</c:v>
                </c:pt>
                <c:pt idx="13">
                  <c:v>2008</c:v>
                </c:pt>
                <c:pt idx="14">
                  <c:v>2007</c:v>
                </c:pt>
                <c:pt idx="15">
                  <c:v>2006</c:v>
                </c:pt>
                <c:pt idx="16">
                  <c:v>2005</c:v>
                </c:pt>
                <c:pt idx="17">
                  <c:v>2004</c:v>
                </c:pt>
                <c:pt idx="18">
                  <c:v>2003</c:v>
                </c:pt>
                <c:pt idx="19">
                  <c:v>2002</c:v>
                </c:pt>
                <c:pt idx="20">
                  <c:v>2001</c:v>
                </c:pt>
                <c:pt idx="21">
                  <c:v>2000</c:v>
                </c:pt>
              </c:numCache>
            </c:numRef>
          </c:xVal>
          <c:yVal>
            <c:numRef>
              <c:f>'Rev and Major Expenditures'!$D$27:$Y$27</c:f>
              <c:numCache>
                <c:formatCode>"$"#,##0.00;"$"\-#,##0.00</c:formatCode>
                <c:ptCount val="22"/>
                <c:pt idx="0">
                  <c:v>46.461645237130178</c:v>
                </c:pt>
                <c:pt idx="1">
                  <c:v>44.369753470104321</c:v>
                </c:pt>
                <c:pt idx="2">
                  <c:v>44.369753470104321</c:v>
                </c:pt>
                <c:pt idx="3">
                  <c:v>45.101854402361042</c:v>
                </c:pt>
                <c:pt idx="4">
                  <c:v>45.101854402361042</c:v>
                </c:pt>
                <c:pt idx="5">
                  <c:v>45.101854402361042</c:v>
                </c:pt>
                <c:pt idx="6">
                  <c:v>45.846035000000001</c:v>
                </c:pt>
                <c:pt idx="7">
                  <c:v>45.846035000000001</c:v>
                </c:pt>
                <c:pt idx="8">
                  <c:v>48.622204373548776</c:v>
                </c:pt>
                <c:pt idx="9">
                  <c:v>47.177094983589498</c:v>
                </c:pt>
                <c:pt idx="10">
                  <c:v>41.468341997255557</c:v>
                </c:pt>
                <c:pt idx="11">
                  <c:v>31.454176125174268</c:v>
                </c:pt>
                <c:pt idx="12">
                  <c:v>45.117700079301009</c:v>
                </c:pt>
                <c:pt idx="13">
                  <c:v>60.456925599785727</c:v>
                </c:pt>
                <c:pt idx="14">
                  <c:v>58.586120201183711</c:v>
                </c:pt>
                <c:pt idx="15">
                  <c:v>56.018024237731488</c:v>
                </c:pt>
                <c:pt idx="16">
                  <c:v>47.886607536472944</c:v>
                </c:pt>
                <c:pt idx="17">
                  <c:v>40.001653468165692</c:v>
                </c:pt>
                <c:pt idx="18">
                  <c:v>38.870480597541665</c:v>
                </c:pt>
                <c:pt idx="19">
                  <c:v>36.206456964571984</c:v>
                </c:pt>
                <c:pt idx="20">
                  <c:v>38.197669226912296</c:v>
                </c:pt>
                <c:pt idx="21">
                  <c:v>35.50045788496903</c:v>
                </c:pt>
              </c:numCache>
            </c:numRef>
          </c:yVal>
        </c:ser>
        <c:axId val="157948928"/>
        <c:axId val="157954816"/>
      </c:scatterChart>
      <c:valAx>
        <c:axId val="157948928"/>
        <c:scaling>
          <c:orientation val="minMax"/>
          <c:max val="2020"/>
          <c:min val="1998"/>
        </c:scaling>
        <c:axPos val="b"/>
        <c:majorGridlines/>
        <c:numFmt formatCode="General" sourceLinked="1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157954816"/>
        <c:crosses val="autoZero"/>
        <c:crossBetween val="midCat"/>
        <c:majorUnit val="2"/>
      </c:valAx>
      <c:valAx>
        <c:axId val="157954816"/>
        <c:scaling>
          <c:orientation val="minMax"/>
          <c:max val="1000"/>
        </c:scaling>
        <c:axPos val="l"/>
        <c:majorGridlines/>
        <c:numFmt formatCode="&quot;$&quot;#,##0" sourceLinked="0"/>
        <c:tickLblPos val="nextTo"/>
        <c:crossAx val="157948928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58327511099055329"/>
          <c:y val="0.13968872809817687"/>
          <c:w val="0.41367845593887043"/>
          <c:h val="0.75460629921260003"/>
        </c:manualLayout>
      </c:layout>
    </c:legend>
    <c:plotVisOnly val="1"/>
  </c:chart>
  <c:printSettings>
    <c:headerFooter/>
    <c:pageMargins b="0.75000000000000733" l="0.70000000000000062" r="0.70000000000000062" t="0.7500000000000073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 sz="1800" b="1" i="0" u="none" strike="noStrike" baseline="0"/>
              <a:t>Ratio of County Expenditures to Total Household Income </a:t>
            </a:r>
            <a:endParaRPr lang="en-US"/>
          </a:p>
        </c:rich>
      </c:tx>
      <c:layout/>
    </c:title>
    <c:plotArea>
      <c:layout/>
      <c:scatterChart>
        <c:scatterStyle val="lineMarker"/>
        <c:ser>
          <c:idx val="2"/>
          <c:order val="0"/>
          <c:tx>
            <c:strRef>
              <c:f>'Rev and Major Expenditures'!$A$82</c:f>
              <c:strCache>
                <c:ptCount val="1"/>
                <c:pt idx="0">
                  <c:v>County plus FCPS Expenditures/Income to County Residents</c:v>
                </c:pt>
              </c:strCache>
            </c:strRef>
          </c:tx>
          <c:marker>
            <c:symbol val="none"/>
          </c:marker>
          <c:xVal>
            <c:numRef>
              <c:f>'Rev and Major Expenditures'!$D$79:$Y$79</c:f>
              <c:numCache>
                <c:formatCode>General</c:formatCode>
                <c:ptCount val="22"/>
                <c:pt idx="0">
                  <c:v>2017</c:v>
                </c:pt>
                <c:pt idx="1">
                  <c:v>2016</c:v>
                </c:pt>
                <c:pt idx="2">
                  <c:v>2016</c:v>
                </c:pt>
                <c:pt idx="3">
                  <c:v>2015</c:v>
                </c:pt>
                <c:pt idx="4">
                  <c:v>2015</c:v>
                </c:pt>
                <c:pt idx="5">
                  <c:v>2015</c:v>
                </c:pt>
                <c:pt idx="6">
                  <c:v>2014</c:v>
                </c:pt>
                <c:pt idx="7">
                  <c:v>2014</c:v>
                </c:pt>
                <c:pt idx="8">
                  <c:v>2013</c:v>
                </c:pt>
                <c:pt idx="9">
                  <c:v>2012</c:v>
                </c:pt>
                <c:pt idx="10">
                  <c:v>2011</c:v>
                </c:pt>
                <c:pt idx="11">
                  <c:v>2010</c:v>
                </c:pt>
                <c:pt idx="12">
                  <c:v>2009</c:v>
                </c:pt>
                <c:pt idx="13">
                  <c:v>2008</c:v>
                </c:pt>
                <c:pt idx="14">
                  <c:v>2007</c:v>
                </c:pt>
                <c:pt idx="15">
                  <c:v>2006</c:v>
                </c:pt>
                <c:pt idx="16">
                  <c:v>2005</c:v>
                </c:pt>
                <c:pt idx="17">
                  <c:v>2004</c:v>
                </c:pt>
                <c:pt idx="18">
                  <c:v>2003</c:v>
                </c:pt>
                <c:pt idx="19">
                  <c:v>2002</c:v>
                </c:pt>
                <c:pt idx="20" formatCode="0">
                  <c:v>2001</c:v>
                </c:pt>
                <c:pt idx="21" formatCode="0">
                  <c:v>2000</c:v>
                </c:pt>
              </c:numCache>
            </c:numRef>
          </c:xVal>
          <c:yVal>
            <c:numRef>
              <c:f>'Rev and Major Expenditures'!$D$82:$Y$82</c:f>
              <c:numCache>
                <c:formatCode>0.0%</c:formatCode>
                <c:ptCount val="22"/>
                <c:pt idx="0">
                  <c:v>7.8462462205704589E-2</c:v>
                </c:pt>
                <c:pt idx="1">
                  <c:v>7.6306584754115586E-2</c:v>
                </c:pt>
                <c:pt idx="2">
                  <c:v>7.6204701323445548E-2</c:v>
                </c:pt>
                <c:pt idx="3">
                  <c:v>7.7596753480871722E-2</c:v>
                </c:pt>
                <c:pt idx="4">
                  <c:v>7.8256697176755208E-2</c:v>
                </c:pt>
                <c:pt idx="5">
                  <c:v>7.7018149041471723E-2</c:v>
                </c:pt>
                <c:pt idx="6">
                  <c:v>7.815817353628092E-2</c:v>
                </c:pt>
                <c:pt idx="7">
                  <c:v>7.9594552041893862E-2</c:v>
                </c:pt>
                <c:pt idx="8">
                  <c:v>7.7750496757478416E-2</c:v>
                </c:pt>
                <c:pt idx="9">
                  <c:v>7.4382931069961258E-2</c:v>
                </c:pt>
                <c:pt idx="10">
                  <c:v>7.3237530728635508E-2</c:v>
                </c:pt>
                <c:pt idx="11">
                  <c:v>7.4310130317538109E-2</c:v>
                </c:pt>
                <c:pt idx="12">
                  <c:v>8.0813592284132985E-2</c:v>
                </c:pt>
                <c:pt idx="13">
                  <c:v>7.7481502353181034E-2</c:v>
                </c:pt>
                <c:pt idx="14">
                  <c:v>7.7666121434779023E-2</c:v>
                </c:pt>
                <c:pt idx="15">
                  <c:v>7.897836397154448E-2</c:v>
                </c:pt>
                <c:pt idx="16">
                  <c:v>7.4957210577579481E-2</c:v>
                </c:pt>
                <c:pt idx="17">
                  <c:v>7.411100393089487E-2</c:v>
                </c:pt>
                <c:pt idx="18">
                  <c:v>7.6075271390702748E-2</c:v>
                </c:pt>
                <c:pt idx="19">
                  <c:v>7.1299674770110677E-2</c:v>
                </c:pt>
                <c:pt idx="20">
                  <c:v>6.92179906702588E-2</c:v>
                </c:pt>
                <c:pt idx="21">
                  <c:v>6.6524120339033543E-2</c:v>
                </c:pt>
              </c:numCache>
            </c:numRef>
          </c:yVal>
        </c:ser>
        <c:ser>
          <c:idx val="1"/>
          <c:order val="1"/>
          <c:tx>
            <c:strRef>
              <c:f>'Rev and Major Expenditures'!$A$81</c:f>
              <c:strCache>
                <c:ptCount val="1"/>
                <c:pt idx="0">
                  <c:v>FCPS Expenditures/Income to County Residents</c:v>
                </c:pt>
              </c:strCache>
            </c:strRef>
          </c:tx>
          <c:marker>
            <c:symbol val="none"/>
          </c:marker>
          <c:xVal>
            <c:numRef>
              <c:f>'Rev and Major Expenditures'!$D$79:$Y$79</c:f>
              <c:numCache>
                <c:formatCode>General</c:formatCode>
                <c:ptCount val="22"/>
                <c:pt idx="0">
                  <c:v>2017</c:v>
                </c:pt>
                <c:pt idx="1">
                  <c:v>2016</c:v>
                </c:pt>
                <c:pt idx="2">
                  <c:v>2016</c:v>
                </c:pt>
                <c:pt idx="3">
                  <c:v>2015</c:v>
                </c:pt>
                <c:pt idx="4">
                  <c:v>2015</c:v>
                </c:pt>
                <c:pt idx="5">
                  <c:v>2015</c:v>
                </c:pt>
                <c:pt idx="6">
                  <c:v>2014</c:v>
                </c:pt>
                <c:pt idx="7">
                  <c:v>2014</c:v>
                </c:pt>
                <c:pt idx="8">
                  <c:v>2013</c:v>
                </c:pt>
                <c:pt idx="9">
                  <c:v>2012</c:v>
                </c:pt>
                <c:pt idx="10">
                  <c:v>2011</c:v>
                </c:pt>
                <c:pt idx="11">
                  <c:v>2010</c:v>
                </c:pt>
                <c:pt idx="12">
                  <c:v>2009</c:v>
                </c:pt>
                <c:pt idx="13">
                  <c:v>2008</c:v>
                </c:pt>
                <c:pt idx="14">
                  <c:v>2007</c:v>
                </c:pt>
                <c:pt idx="15">
                  <c:v>2006</c:v>
                </c:pt>
                <c:pt idx="16">
                  <c:v>2005</c:v>
                </c:pt>
                <c:pt idx="17">
                  <c:v>2004</c:v>
                </c:pt>
                <c:pt idx="18">
                  <c:v>2003</c:v>
                </c:pt>
                <c:pt idx="19">
                  <c:v>2002</c:v>
                </c:pt>
                <c:pt idx="20" formatCode="0">
                  <c:v>2001</c:v>
                </c:pt>
                <c:pt idx="21" formatCode="0">
                  <c:v>2000</c:v>
                </c:pt>
              </c:numCache>
            </c:numRef>
          </c:xVal>
          <c:yVal>
            <c:numRef>
              <c:f>'Rev and Major Expenditures'!$D$81:$Y$81</c:f>
              <c:numCache>
                <c:formatCode>0.0%</c:formatCode>
                <c:ptCount val="22"/>
                <c:pt idx="0">
                  <c:v>4.3423551655451441E-2</c:v>
                </c:pt>
                <c:pt idx="1">
                  <c:v>4.2829880957122951E-2</c:v>
                </c:pt>
                <c:pt idx="2">
                  <c:v>4.2829880957122951E-2</c:v>
                </c:pt>
                <c:pt idx="3">
                  <c:v>4.393292071456769E-2</c:v>
                </c:pt>
                <c:pt idx="4">
                  <c:v>4.393292071456769E-2</c:v>
                </c:pt>
                <c:pt idx="5">
                  <c:v>4.3782978854558417E-2</c:v>
                </c:pt>
                <c:pt idx="6">
                  <c:v>4.3747570140643462E-2</c:v>
                </c:pt>
                <c:pt idx="7">
                  <c:v>4.4698523373671292E-2</c:v>
                </c:pt>
                <c:pt idx="8">
                  <c:v>4.3810174498212374E-2</c:v>
                </c:pt>
                <c:pt idx="9">
                  <c:v>4.1004389132619397E-2</c:v>
                </c:pt>
                <c:pt idx="10">
                  <c:v>4.0440880640016053E-2</c:v>
                </c:pt>
                <c:pt idx="11">
                  <c:v>4.124330741448224E-2</c:v>
                </c:pt>
                <c:pt idx="12">
                  <c:v>4.5072118574642064E-2</c:v>
                </c:pt>
                <c:pt idx="13">
                  <c:v>4.2834058134272074E-2</c:v>
                </c:pt>
                <c:pt idx="14">
                  <c:v>4.2460126815396147E-2</c:v>
                </c:pt>
                <c:pt idx="15">
                  <c:v>4.1993658105162E-2</c:v>
                </c:pt>
                <c:pt idx="16">
                  <c:v>4.0701871089060669E-2</c:v>
                </c:pt>
                <c:pt idx="17">
                  <c:v>4.0422918002702361E-2</c:v>
                </c:pt>
                <c:pt idx="18">
                  <c:v>4.1986395712312059E-2</c:v>
                </c:pt>
                <c:pt idx="19">
                  <c:v>3.8731638718086665E-2</c:v>
                </c:pt>
                <c:pt idx="20">
                  <c:v>3.7487034481001082E-2</c:v>
                </c:pt>
                <c:pt idx="21">
                  <c:v>3.5622833147012353E-2</c:v>
                </c:pt>
              </c:numCache>
            </c:numRef>
          </c:yVal>
        </c:ser>
        <c:ser>
          <c:idx val="0"/>
          <c:order val="2"/>
          <c:tx>
            <c:strRef>
              <c:f>'Rev and Major Expenditures'!$A$80</c:f>
              <c:strCache>
                <c:ptCount val="1"/>
                <c:pt idx="0">
                  <c:v>County General Fund (excluding FCPS transfer)/Income to County Residents</c:v>
                </c:pt>
              </c:strCache>
            </c:strRef>
          </c:tx>
          <c:marker>
            <c:symbol val="none"/>
          </c:marker>
          <c:xVal>
            <c:numRef>
              <c:f>'Rev and Major Expenditures'!$D$79:$Y$79</c:f>
              <c:numCache>
                <c:formatCode>General</c:formatCode>
                <c:ptCount val="22"/>
                <c:pt idx="0">
                  <c:v>2017</c:v>
                </c:pt>
                <c:pt idx="1">
                  <c:v>2016</c:v>
                </c:pt>
                <c:pt idx="2">
                  <c:v>2016</c:v>
                </c:pt>
                <c:pt idx="3">
                  <c:v>2015</c:v>
                </c:pt>
                <c:pt idx="4">
                  <c:v>2015</c:v>
                </c:pt>
                <c:pt idx="5">
                  <c:v>2015</c:v>
                </c:pt>
                <c:pt idx="6">
                  <c:v>2014</c:v>
                </c:pt>
                <c:pt idx="7">
                  <c:v>2014</c:v>
                </c:pt>
                <c:pt idx="8">
                  <c:v>2013</c:v>
                </c:pt>
                <c:pt idx="9">
                  <c:v>2012</c:v>
                </c:pt>
                <c:pt idx="10">
                  <c:v>2011</c:v>
                </c:pt>
                <c:pt idx="11">
                  <c:v>2010</c:v>
                </c:pt>
                <c:pt idx="12">
                  <c:v>2009</c:v>
                </c:pt>
                <c:pt idx="13">
                  <c:v>2008</c:v>
                </c:pt>
                <c:pt idx="14">
                  <c:v>2007</c:v>
                </c:pt>
                <c:pt idx="15">
                  <c:v>2006</c:v>
                </c:pt>
                <c:pt idx="16">
                  <c:v>2005</c:v>
                </c:pt>
                <c:pt idx="17">
                  <c:v>2004</c:v>
                </c:pt>
                <c:pt idx="18">
                  <c:v>2003</c:v>
                </c:pt>
                <c:pt idx="19">
                  <c:v>2002</c:v>
                </c:pt>
                <c:pt idx="20" formatCode="0">
                  <c:v>2001</c:v>
                </c:pt>
                <c:pt idx="21" formatCode="0">
                  <c:v>2000</c:v>
                </c:pt>
              </c:numCache>
            </c:numRef>
          </c:xVal>
          <c:yVal>
            <c:numRef>
              <c:f>'Rev and Major Expenditures'!$D$80:$Y$80</c:f>
              <c:numCache>
                <c:formatCode>0.0%</c:formatCode>
                <c:ptCount val="22"/>
                <c:pt idx="0">
                  <c:v>3.5038910550253148E-2</c:v>
                </c:pt>
                <c:pt idx="1">
                  <c:v>3.3476703796992635E-2</c:v>
                </c:pt>
                <c:pt idx="2">
                  <c:v>3.3374820366322597E-2</c:v>
                </c:pt>
                <c:pt idx="3">
                  <c:v>3.3663832766304032E-2</c:v>
                </c:pt>
                <c:pt idx="4">
                  <c:v>3.4323776462187525E-2</c:v>
                </c:pt>
                <c:pt idx="5">
                  <c:v>3.3235170186913299E-2</c:v>
                </c:pt>
                <c:pt idx="6">
                  <c:v>3.4410603395637458E-2</c:v>
                </c:pt>
                <c:pt idx="7">
                  <c:v>3.489602866822257E-2</c:v>
                </c:pt>
                <c:pt idx="8">
                  <c:v>3.3940322259266048E-2</c:v>
                </c:pt>
                <c:pt idx="9">
                  <c:v>3.3378541937341862E-2</c:v>
                </c:pt>
                <c:pt idx="10">
                  <c:v>3.2796650088619463E-2</c:v>
                </c:pt>
                <c:pt idx="11">
                  <c:v>3.3066822903055876E-2</c:v>
                </c:pt>
                <c:pt idx="12">
                  <c:v>3.5741473709490927E-2</c:v>
                </c:pt>
                <c:pt idx="13">
                  <c:v>3.464744421890896E-2</c:v>
                </c:pt>
                <c:pt idx="14">
                  <c:v>3.5205994619382876E-2</c:v>
                </c:pt>
                <c:pt idx="15">
                  <c:v>3.6984705866382479E-2</c:v>
                </c:pt>
                <c:pt idx="16">
                  <c:v>3.4255339488518805E-2</c:v>
                </c:pt>
                <c:pt idx="17">
                  <c:v>3.3688085928192509E-2</c:v>
                </c:pt>
                <c:pt idx="18">
                  <c:v>3.4088875678390682E-2</c:v>
                </c:pt>
                <c:pt idx="19">
                  <c:v>3.2568036052024005E-2</c:v>
                </c:pt>
                <c:pt idx="20">
                  <c:v>3.1730956189257718E-2</c:v>
                </c:pt>
                <c:pt idx="21">
                  <c:v>3.0901287192021197E-2</c:v>
                </c:pt>
              </c:numCache>
            </c:numRef>
          </c:yVal>
        </c:ser>
        <c:axId val="157989120"/>
        <c:axId val="157999104"/>
      </c:scatterChart>
      <c:valAx>
        <c:axId val="157989120"/>
        <c:scaling>
          <c:orientation val="minMax"/>
        </c:scaling>
        <c:axPos val="b"/>
        <c:majorGridlines/>
        <c:numFmt formatCode="General" sourceLinked="1"/>
        <c:tickLblPos val="nextTo"/>
        <c:crossAx val="157999104"/>
        <c:crosses val="autoZero"/>
        <c:crossBetween val="midCat"/>
      </c:valAx>
      <c:valAx>
        <c:axId val="157999104"/>
        <c:scaling>
          <c:orientation val="minMax"/>
        </c:scaling>
        <c:axPos val="l"/>
        <c:majorGridlines/>
        <c:numFmt formatCode="0.0%" sourceLinked="1"/>
        <c:tickLblPos val="nextTo"/>
        <c:crossAx val="157989120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5000000000000389" l="0.70000000000000062" r="0.70000000000000062" t="0.7500000000000038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scatterChart>
        <c:scatterStyle val="lineMarker"/>
        <c:ser>
          <c:idx val="0"/>
          <c:order val="0"/>
          <c:tx>
            <c:strRef>
              <c:f>Demographics!$G$42</c:f>
              <c:strCache>
                <c:ptCount val="1"/>
                <c:pt idx="0">
                  <c:v>Mean Real-Estate Tax in 2014$ * 30</c:v>
                </c:pt>
              </c:strCache>
            </c:strRef>
          </c:tx>
          <c:marker>
            <c:symbol val="none"/>
          </c:marker>
          <c:xVal>
            <c:numRef>
              <c:f>Demographics!$A$43:$A$79</c:f>
              <c:numCache>
                <c:formatCode>General</c:formatCode>
                <c:ptCount val="37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  <c:pt idx="27">
                  <c:v>2008</c:v>
                </c:pt>
                <c:pt idx="28">
                  <c:v>2009</c:v>
                </c:pt>
                <c:pt idx="29">
                  <c:v>2010</c:v>
                </c:pt>
                <c:pt idx="30">
                  <c:v>2011</c:v>
                </c:pt>
                <c:pt idx="31">
                  <c:v>2012</c:v>
                </c:pt>
                <c:pt idx="32">
                  <c:v>2013</c:v>
                </c:pt>
                <c:pt idx="33">
                  <c:v>2014</c:v>
                </c:pt>
                <c:pt idx="34">
                  <c:v>2015</c:v>
                </c:pt>
                <c:pt idx="35">
                  <c:v>2016</c:v>
                </c:pt>
                <c:pt idx="36">
                  <c:v>2017</c:v>
                </c:pt>
              </c:numCache>
            </c:numRef>
          </c:xVal>
          <c:yVal>
            <c:numRef>
              <c:f>Demographics!$G$43:$G$79</c:f>
              <c:numCache>
                <c:formatCode>_("$"* #,##0_);_("$"* \(#,##0\);_("$"* "-"??_);_(@_)</c:formatCode>
                <c:ptCount val="37"/>
                <c:pt idx="0">
                  <c:v>93603.995815786591</c:v>
                </c:pt>
                <c:pt idx="1">
                  <c:v>99412.299549145086</c:v>
                </c:pt>
                <c:pt idx="2">
                  <c:v>103818.89889284641</c:v>
                </c:pt>
                <c:pt idx="3">
                  <c:v>100689.85451825315</c:v>
                </c:pt>
                <c:pt idx="4">
                  <c:v>98380.642394888477</c:v>
                </c:pt>
                <c:pt idx="5">
                  <c:v>94719.781884489057</c:v>
                </c:pt>
                <c:pt idx="6">
                  <c:v>92499.624397513224</c:v>
                </c:pt>
                <c:pt idx="7">
                  <c:v>95676.359434894373</c:v>
                </c:pt>
                <c:pt idx="8">
                  <c:v>105356.39540641131</c:v>
                </c:pt>
                <c:pt idx="9">
                  <c:v>111158.63929683244</c:v>
                </c:pt>
                <c:pt idx="10">
                  <c:v>113743.14509367845</c:v>
                </c:pt>
                <c:pt idx="11">
                  <c:v>108713.32101277978</c:v>
                </c:pt>
                <c:pt idx="12">
                  <c:v>106379.36410506576</c:v>
                </c:pt>
                <c:pt idx="13">
                  <c:v>103638.97244878543</c:v>
                </c:pt>
                <c:pt idx="14">
                  <c:v>101526.61651473753</c:v>
                </c:pt>
                <c:pt idx="15">
                  <c:v>99953.703194047164</c:v>
                </c:pt>
                <c:pt idx="16">
                  <c:v>104007.10106652338</c:v>
                </c:pt>
                <c:pt idx="17">
                  <c:v>102441.37596122394</c:v>
                </c:pt>
                <c:pt idx="18">
                  <c:v>101023.71039344839</c:v>
                </c:pt>
                <c:pt idx="19">
                  <c:v>99283.59725750002</c:v>
                </c:pt>
                <c:pt idx="20">
                  <c:v>102659.40753999438</c:v>
                </c:pt>
                <c:pt idx="21">
                  <c:v>113989.16300989162</c:v>
                </c:pt>
                <c:pt idx="22">
                  <c:v>129344.19487463316</c:v>
                </c:pt>
                <c:pt idx="23">
                  <c:v>140100.21779919532</c:v>
                </c:pt>
                <c:pt idx="24">
                  <c:v>148481.00373633899</c:v>
                </c:pt>
                <c:pt idx="25">
                  <c:v>157997.0835186012</c:v>
                </c:pt>
                <c:pt idx="26">
                  <c:v>166004.23727496841</c:v>
                </c:pt>
                <c:pt idx="27">
                  <c:v>159240.18672572376</c:v>
                </c:pt>
                <c:pt idx="28">
                  <c:v>159933.69592202746</c:v>
                </c:pt>
                <c:pt idx="29">
                  <c:v>155102.89733019043</c:v>
                </c:pt>
                <c:pt idx="30">
                  <c:v>149157.53835505975</c:v>
                </c:pt>
                <c:pt idx="31">
                  <c:v>149532.33131064774</c:v>
                </c:pt>
                <c:pt idx="32">
                  <c:v>149382.81055570432</c:v>
                </c:pt>
                <c:pt idx="33">
                  <c:v>155081.32920000001</c:v>
                </c:pt>
                <c:pt idx="34">
                  <c:v>163644.07879980325</c:v>
                </c:pt>
                <c:pt idx="35">
                  <c:v>162962.71807938322</c:v>
                </c:pt>
                <c:pt idx="36">
                  <c:v>171457.26468459304</c:v>
                </c:pt>
              </c:numCache>
            </c:numRef>
          </c:yVal>
        </c:ser>
        <c:ser>
          <c:idx val="1"/>
          <c:order val="1"/>
          <c:tx>
            <c:strRef>
              <c:f>Demographics!$I$42</c:f>
              <c:strCache>
                <c:ptCount val="1"/>
                <c:pt idx="0">
                  <c:v>Median household Income in 2014$</c:v>
                </c:pt>
              </c:strCache>
            </c:strRef>
          </c:tx>
          <c:marker>
            <c:symbol val="none"/>
          </c:marker>
          <c:xVal>
            <c:numRef>
              <c:f>Demographics!$A$43:$A$79</c:f>
              <c:numCache>
                <c:formatCode>General</c:formatCode>
                <c:ptCount val="37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  <c:pt idx="27">
                  <c:v>2008</c:v>
                </c:pt>
                <c:pt idx="28">
                  <c:v>2009</c:v>
                </c:pt>
                <c:pt idx="29">
                  <c:v>2010</c:v>
                </c:pt>
                <c:pt idx="30">
                  <c:v>2011</c:v>
                </c:pt>
                <c:pt idx="31">
                  <c:v>2012</c:v>
                </c:pt>
                <c:pt idx="32">
                  <c:v>2013</c:v>
                </c:pt>
                <c:pt idx="33">
                  <c:v>2014</c:v>
                </c:pt>
                <c:pt idx="34">
                  <c:v>2015</c:v>
                </c:pt>
                <c:pt idx="35">
                  <c:v>2016</c:v>
                </c:pt>
                <c:pt idx="36">
                  <c:v>2017</c:v>
                </c:pt>
              </c:numCache>
            </c:numRef>
          </c:xVal>
          <c:yVal>
            <c:numRef>
              <c:f>Demographics!$I$43:$I$79</c:f>
              <c:numCache>
                <c:formatCode>"$"#,##0.00_);[Red]\("$"#,##0.00\)</c:formatCode>
                <c:ptCount val="37"/>
                <c:pt idx="0">
                  <c:v>97961.343701276608</c:v>
                </c:pt>
                <c:pt idx="1">
                  <c:v>98391.952551533919</c:v>
                </c:pt>
                <c:pt idx="2">
                  <c:v>101254.62550200806</c:v>
                </c:pt>
                <c:pt idx="3">
                  <c:v>105152.78240295156</c:v>
                </c:pt>
                <c:pt idx="4">
                  <c:v>109347.46731722431</c:v>
                </c:pt>
                <c:pt idx="5">
                  <c:v>113184.07968369832</c:v>
                </c:pt>
                <c:pt idx="6">
                  <c:v>114825.37661384977</c:v>
                </c:pt>
                <c:pt idx="7">
                  <c:v>114465.83882783883</c:v>
                </c:pt>
                <c:pt idx="8">
                  <c:v>113213.34422043012</c:v>
                </c:pt>
                <c:pt idx="9">
                  <c:v>108949.35290742161</c:v>
                </c:pt>
                <c:pt idx="10">
                  <c:v>106027.21120900639</c:v>
                </c:pt>
                <c:pt idx="11">
                  <c:v>105459.80339748159</c:v>
                </c:pt>
                <c:pt idx="12">
                  <c:v>104852.00461361016</c:v>
                </c:pt>
                <c:pt idx="13">
                  <c:v>105429.06207827263</c:v>
                </c:pt>
                <c:pt idx="14">
                  <c:v>108737.08442694663</c:v>
                </c:pt>
                <c:pt idx="15">
                  <c:v>107127.26471213088</c:v>
                </c:pt>
                <c:pt idx="16">
                  <c:v>106199.40186915889</c:v>
                </c:pt>
                <c:pt idx="17">
                  <c:v>111178.85618609408</c:v>
                </c:pt>
                <c:pt idx="18">
                  <c:v>115241.91546618649</c:v>
                </c:pt>
                <c:pt idx="19">
                  <c:v>112731.50793650796</c:v>
                </c:pt>
                <c:pt idx="20">
                  <c:v>113221.64492753625</c:v>
                </c:pt>
                <c:pt idx="21">
                  <c:v>112248.99953677971</c:v>
                </c:pt>
                <c:pt idx="22">
                  <c:v>103958.05579710146</c:v>
                </c:pt>
                <c:pt idx="23">
                  <c:v>110410.0385565555</c:v>
                </c:pt>
                <c:pt idx="24">
                  <c:v>114670.97473971668</c:v>
                </c:pt>
                <c:pt idx="25">
                  <c:v>117780.9400628307</c:v>
                </c:pt>
                <c:pt idx="26">
                  <c:v>120113.84443737079</c:v>
                </c:pt>
                <c:pt idx="27">
                  <c:v>118091.54679683982</c:v>
                </c:pt>
                <c:pt idx="28">
                  <c:v>113106.16389402917</c:v>
                </c:pt>
                <c:pt idx="29">
                  <c:v>111823.68367147277</c:v>
                </c:pt>
                <c:pt idx="30">
                  <c:v>111348.71176280997</c:v>
                </c:pt>
                <c:pt idx="31">
                  <c:v>110431.68659738735</c:v>
                </c:pt>
                <c:pt idx="32">
                  <c:v>112258.55425929138</c:v>
                </c:pt>
                <c:pt idx="33">
                  <c:v>112556.07669478602</c:v>
                </c:pt>
                <c:pt idx="34">
                  <c:v>112225.71189178944</c:v>
                </c:pt>
                <c:pt idx="35">
                  <c:v>110404.04514686615</c:v>
                </c:pt>
                <c:pt idx="36">
                  <c:v>111059.91076160003</c:v>
                </c:pt>
              </c:numCache>
            </c:numRef>
          </c:yVal>
        </c:ser>
        <c:axId val="168732544"/>
        <c:axId val="168734080"/>
      </c:scatterChart>
      <c:valAx>
        <c:axId val="168732544"/>
        <c:scaling>
          <c:orientation val="minMax"/>
        </c:scaling>
        <c:axPos val="b"/>
        <c:majorGridlines/>
        <c:numFmt formatCode="General" sourceLinked="1"/>
        <c:tickLblPos val="nextTo"/>
        <c:crossAx val="168734080"/>
        <c:crosses val="autoZero"/>
        <c:crossBetween val="midCat"/>
      </c:valAx>
      <c:valAx>
        <c:axId val="168734080"/>
        <c:scaling>
          <c:orientation val="minMax"/>
        </c:scaling>
        <c:axPos val="l"/>
        <c:majorGridlines/>
        <c:numFmt formatCode="_(&quot;$&quot;* #,##0_);_(&quot;$&quot;* \(#,##0\);_(&quot;$&quot;* &quot;-&quot;??_);_(@_)" sourceLinked="1"/>
        <c:tickLblPos val="nextTo"/>
        <c:crossAx val="168732544"/>
        <c:crosses val="autoZero"/>
        <c:crossBetween val="midCat"/>
      </c:valAx>
    </c:plotArea>
    <c:legend>
      <c:legendPos val="b"/>
      <c:layout/>
    </c:legend>
    <c:plotVisOnly val="1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scatterChart>
        <c:scatterStyle val="lineMarker"/>
        <c:ser>
          <c:idx val="1"/>
          <c:order val="0"/>
          <c:tx>
            <c:strRef>
              <c:f>'Rev and Major Expenditures'!$A$8</c:f>
              <c:strCache>
                <c:ptCount val="1"/>
                <c:pt idx="0">
                  <c:v>General Other Local Taxes</c:v>
                </c:pt>
              </c:strCache>
            </c:strRef>
          </c:tx>
          <c:marker>
            <c:symbol val="none"/>
          </c:marker>
          <c:xVal>
            <c:numRef>
              <c:f>'Rev and Major Expenditures'!$D$4:$Z$4</c:f>
              <c:numCache>
                <c:formatCode>General</c:formatCode>
                <c:ptCount val="23"/>
                <c:pt idx="0">
                  <c:v>2017</c:v>
                </c:pt>
                <c:pt idx="1">
                  <c:v>2016</c:v>
                </c:pt>
                <c:pt idx="2">
                  <c:v>2016</c:v>
                </c:pt>
                <c:pt idx="3">
                  <c:v>2015</c:v>
                </c:pt>
                <c:pt idx="4">
                  <c:v>2015</c:v>
                </c:pt>
                <c:pt idx="5">
                  <c:v>2015</c:v>
                </c:pt>
                <c:pt idx="6">
                  <c:v>2014</c:v>
                </c:pt>
                <c:pt idx="7">
                  <c:v>2014</c:v>
                </c:pt>
                <c:pt idx="8">
                  <c:v>2013</c:v>
                </c:pt>
                <c:pt idx="9">
                  <c:v>2012</c:v>
                </c:pt>
                <c:pt idx="10">
                  <c:v>2011</c:v>
                </c:pt>
                <c:pt idx="11">
                  <c:v>2010</c:v>
                </c:pt>
                <c:pt idx="12">
                  <c:v>2009</c:v>
                </c:pt>
                <c:pt idx="13">
                  <c:v>2008</c:v>
                </c:pt>
                <c:pt idx="14">
                  <c:v>2007</c:v>
                </c:pt>
                <c:pt idx="15">
                  <c:v>2006</c:v>
                </c:pt>
                <c:pt idx="16">
                  <c:v>2005</c:v>
                </c:pt>
                <c:pt idx="17">
                  <c:v>2004</c:v>
                </c:pt>
                <c:pt idx="18">
                  <c:v>2003</c:v>
                </c:pt>
                <c:pt idx="19">
                  <c:v>2002</c:v>
                </c:pt>
                <c:pt idx="20">
                  <c:v>2001</c:v>
                </c:pt>
                <c:pt idx="21">
                  <c:v>2000</c:v>
                </c:pt>
                <c:pt idx="22">
                  <c:v>1999</c:v>
                </c:pt>
              </c:numCache>
            </c:numRef>
          </c:xVal>
          <c:yVal>
            <c:numRef>
              <c:f>'Rev and Major Expenditures'!$D$8:$Z$8</c:f>
              <c:numCache>
                <c:formatCode>"$"#,##0.00;"$"\-#,##0.00</c:formatCode>
                <c:ptCount val="23"/>
                <c:pt idx="0">
                  <c:v>489.62660054784288</c:v>
                </c:pt>
                <c:pt idx="1">
                  <c:v>479.19348651819496</c:v>
                </c:pt>
                <c:pt idx="2">
                  <c:v>479.19348651819496</c:v>
                </c:pt>
                <c:pt idx="3">
                  <c:v>498.34459222823415</c:v>
                </c:pt>
                <c:pt idx="4">
                  <c:v>480.42886866699456</c:v>
                </c:pt>
                <c:pt idx="5">
                  <c:v>489.00666404328581</c:v>
                </c:pt>
                <c:pt idx="6">
                  <c:v>514.82217800000001</c:v>
                </c:pt>
                <c:pt idx="7">
                  <c:v>521.96997699999997</c:v>
                </c:pt>
                <c:pt idx="8">
                  <c:v>539.57377583684979</c:v>
                </c:pt>
                <c:pt idx="9">
                  <c:v>533.47036015659523</c:v>
                </c:pt>
                <c:pt idx="10">
                  <c:v>532.02922179878863</c:v>
                </c:pt>
                <c:pt idx="11">
                  <c:v>499.56745278589983</c:v>
                </c:pt>
                <c:pt idx="12">
                  <c:v>508.05822192881499</c:v>
                </c:pt>
                <c:pt idx="13">
                  <c:v>521.21918780129795</c:v>
                </c:pt>
                <c:pt idx="14">
                  <c:v>548.56402648750225</c:v>
                </c:pt>
                <c:pt idx="15">
                  <c:v>584.91852711067054</c:v>
                </c:pt>
                <c:pt idx="16">
                  <c:v>561.44339468115982</c:v>
                </c:pt>
                <c:pt idx="17">
                  <c:v>511.61065134716694</c:v>
                </c:pt>
                <c:pt idx="18">
                  <c:v>480.6700147133306</c:v>
                </c:pt>
                <c:pt idx="19">
                  <c:v>474.08112558601454</c:v>
                </c:pt>
                <c:pt idx="20">
                  <c:v>481.71367136748358</c:v>
                </c:pt>
                <c:pt idx="21">
                  <c:v>471.81817717504839</c:v>
                </c:pt>
                <c:pt idx="22">
                  <c:v>451.72068325040328</c:v>
                </c:pt>
              </c:numCache>
            </c:numRef>
          </c:yVal>
        </c:ser>
        <c:ser>
          <c:idx val="0"/>
          <c:order val="1"/>
          <c:tx>
            <c:strRef>
              <c:f>'Rev and Major Expenditures'!$A$6</c:f>
              <c:strCache>
                <c:ptCount val="1"/>
                <c:pt idx="0">
                  <c:v>Real Property Taxes</c:v>
                </c:pt>
              </c:strCache>
            </c:strRef>
          </c:tx>
          <c:marker>
            <c:symbol val="none"/>
          </c:marker>
          <c:xVal>
            <c:numRef>
              <c:f>'Rev and Major Expenditures'!$D$4:$Z$4</c:f>
              <c:numCache>
                <c:formatCode>General</c:formatCode>
                <c:ptCount val="23"/>
                <c:pt idx="0">
                  <c:v>2017</c:v>
                </c:pt>
                <c:pt idx="1">
                  <c:v>2016</c:v>
                </c:pt>
                <c:pt idx="2">
                  <c:v>2016</c:v>
                </c:pt>
                <c:pt idx="3">
                  <c:v>2015</c:v>
                </c:pt>
                <c:pt idx="4">
                  <c:v>2015</c:v>
                </c:pt>
                <c:pt idx="5">
                  <c:v>2015</c:v>
                </c:pt>
                <c:pt idx="6">
                  <c:v>2014</c:v>
                </c:pt>
                <c:pt idx="7">
                  <c:v>2014</c:v>
                </c:pt>
                <c:pt idx="8">
                  <c:v>2013</c:v>
                </c:pt>
                <c:pt idx="9">
                  <c:v>2012</c:v>
                </c:pt>
                <c:pt idx="10">
                  <c:v>2011</c:v>
                </c:pt>
                <c:pt idx="11">
                  <c:v>2010</c:v>
                </c:pt>
                <c:pt idx="12">
                  <c:v>2009</c:v>
                </c:pt>
                <c:pt idx="13">
                  <c:v>2008</c:v>
                </c:pt>
                <c:pt idx="14">
                  <c:v>2007</c:v>
                </c:pt>
                <c:pt idx="15">
                  <c:v>2006</c:v>
                </c:pt>
                <c:pt idx="16">
                  <c:v>2005</c:v>
                </c:pt>
                <c:pt idx="17">
                  <c:v>2004</c:v>
                </c:pt>
                <c:pt idx="18">
                  <c:v>2003</c:v>
                </c:pt>
                <c:pt idx="19">
                  <c:v>2002</c:v>
                </c:pt>
                <c:pt idx="20">
                  <c:v>2001</c:v>
                </c:pt>
                <c:pt idx="21">
                  <c:v>2000</c:v>
                </c:pt>
                <c:pt idx="22">
                  <c:v>1999</c:v>
                </c:pt>
              </c:numCache>
            </c:numRef>
          </c:xVal>
          <c:yVal>
            <c:numRef>
              <c:f>'Rev and Major Expenditures'!$D$6:$Z$6</c:f>
              <c:numCache>
                <c:formatCode>"$"#,##0.00;"$"\-#,##0.00</c:formatCode>
                <c:ptCount val="23"/>
                <c:pt idx="0">
                  <c:v>2491.7153037041512</c:v>
                </c:pt>
                <c:pt idx="1">
                  <c:v>2355.8319881328466</c:v>
                </c:pt>
                <c:pt idx="2">
                  <c:v>2355.8319881328466</c:v>
                </c:pt>
                <c:pt idx="3">
                  <c:v>2318.856399409739</c:v>
                </c:pt>
                <c:pt idx="4">
                  <c:v>2315.4319468765375</c:v>
                </c:pt>
                <c:pt idx="5">
                  <c:v>2315.4319468765375</c:v>
                </c:pt>
                <c:pt idx="6">
                  <c:v>2216.1593090000001</c:v>
                </c:pt>
                <c:pt idx="7">
                  <c:v>2216.599964</c:v>
                </c:pt>
                <c:pt idx="8">
                  <c:v>2157.8530913912259</c:v>
                </c:pt>
                <c:pt idx="9">
                  <c:v>2110.9711004187384</c:v>
                </c:pt>
                <c:pt idx="10">
                  <c:v>2125.7678387781771</c:v>
                </c:pt>
                <c:pt idx="11">
                  <c:v>2297.2396141806785</c:v>
                </c:pt>
                <c:pt idx="12">
                  <c:v>2259.747351042754</c:v>
                </c:pt>
                <c:pt idx="13">
                  <c:v>2171.7344143283794</c:v>
                </c:pt>
                <c:pt idx="14">
                  <c:v>2164.801091397695</c:v>
                </c:pt>
                <c:pt idx="15">
                  <c:v>2094.7446791906632</c:v>
                </c:pt>
                <c:pt idx="16">
                  <c:v>1985.4130384534392</c:v>
                </c:pt>
                <c:pt idx="17">
                  <c:v>1880.7688572869149</c:v>
                </c:pt>
                <c:pt idx="18">
                  <c:v>1796.7935771048101</c:v>
                </c:pt>
                <c:pt idx="19">
                  <c:v>1622.812440722508</c:v>
                </c:pt>
                <c:pt idx="20">
                  <c:v>1451.6906697100746</c:v>
                </c:pt>
                <c:pt idx="21">
                  <c:v>1375.8781779851647</c:v>
                </c:pt>
                <c:pt idx="22">
                  <c:v>1340.5213089875772</c:v>
                </c:pt>
              </c:numCache>
            </c:numRef>
          </c:yVal>
        </c:ser>
        <c:axId val="169082880"/>
        <c:axId val="169084416"/>
      </c:scatterChart>
      <c:valAx>
        <c:axId val="169082880"/>
        <c:scaling>
          <c:orientation val="minMax"/>
        </c:scaling>
        <c:axPos val="b"/>
        <c:majorGridlines/>
        <c:numFmt formatCode="General" sourceLinked="1"/>
        <c:tickLblPos val="nextTo"/>
        <c:crossAx val="169084416"/>
        <c:crosses val="autoZero"/>
        <c:crossBetween val="midCat"/>
      </c:valAx>
      <c:valAx>
        <c:axId val="169084416"/>
        <c:scaling>
          <c:orientation val="minMax"/>
        </c:scaling>
        <c:axPos val="l"/>
        <c:majorGridlines/>
        <c:numFmt formatCode="&quot;$&quot;#,##0.00;&quot;$&quot;\-#,##0.00" sourceLinked="1"/>
        <c:tickLblPos val="nextTo"/>
        <c:crossAx val="169082880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scatterChart>
        <c:scatterStyle val="lineMarker"/>
        <c:ser>
          <c:idx val="2"/>
          <c:order val="0"/>
          <c:tx>
            <c:strRef>
              <c:f>'Rev and Major Expenditures'!$A$30</c:f>
              <c:strCache>
                <c:ptCount val="1"/>
                <c:pt idx="0">
                  <c:v>Total expenditures</c:v>
                </c:pt>
              </c:strCache>
            </c:strRef>
          </c:tx>
          <c:marker>
            <c:symbol val="none"/>
          </c:marker>
          <c:xVal>
            <c:numRef>
              <c:f>'Rev and Major Expenditures'!$B$18:$Z$18</c:f>
              <c:numCache>
                <c:formatCode>General</c:formatCode>
                <c:ptCount val="25"/>
                <c:pt idx="2">
                  <c:v>2017</c:v>
                </c:pt>
                <c:pt idx="3">
                  <c:v>2016</c:v>
                </c:pt>
                <c:pt idx="4">
                  <c:v>2016</c:v>
                </c:pt>
                <c:pt idx="5">
                  <c:v>2015</c:v>
                </c:pt>
                <c:pt idx="6">
                  <c:v>2015</c:v>
                </c:pt>
                <c:pt idx="7">
                  <c:v>2015</c:v>
                </c:pt>
                <c:pt idx="8">
                  <c:v>2014</c:v>
                </c:pt>
                <c:pt idx="9">
                  <c:v>2014</c:v>
                </c:pt>
                <c:pt idx="10">
                  <c:v>2013</c:v>
                </c:pt>
                <c:pt idx="11">
                  <c:v>2012</c:v>
                </c:pt>
                <c:pt idx="12">
                  <c:v>2011</c:v>
                </c:pt>
                <c:pt idx="13">
                  <c:v>2010</c:v>
                </c:pt>
                <c:pt idx="14">
                  <c:v>2009</c:v>
                </c:pt>
                <c:pt idx="15">
                  <c:v>2008</c:v>
                </c:pt>
                <c:pt idx="16">
                  <c:v>2007</c:v>
                </c:pt>
                <c:pt idx="17">
                  <c:v>2006</c:v>
                </c:pt>
                <c:pt idx="18">
                  <c:v>2005</c:v>
                </c:pt>
                <c:pt idx="19">
                  <c:v>2004</c:v>
                </c:pt>
                <c:pt idx="20">
                  <c:v>2003</c:v>
                </c:pt>
                <c:pt idx="21">
                  <c:v>2002</c:v>
                </c:pt>
                <c:pt idx="22">
                  <c:v>2001</c:v>
                </c:pt>
                <c:pt idx="23">
                  <c:v>2000</c:v>
                </c:pt>
                <c:pt idx="24">
                  <c:v>1999</c:v>
                </c:pt>
              </c:numCache>
            </c:numRef>
          </c:xVal>
          <c:yVal>
            <c:numRef>
              <c:f>'Rev and Major Expenditures'!$B$30:$Z$30</c:f>
              <c:numCache>
                <c:formatCode>General</c:formatCode>
                <c:ptCount val="25"/>
                <c:pt idx="2" formatCode="&quot;$&quot;#,##0.00;&quot;$&quot;\-#,##0.00">
                  <c:v>3821.6058567122245</c:v>
                </c:pt>
                <c:pt idx="3" formatCode="&quot;$&quot;#,##0.00;&quot;$&quot;\-#,##0.00">
                  <c:v>3696.5555012243867</c:v>
                </c:pt>
                <c:pt idx="4" formatCode="&quot;$&quot;#,##0.00;&quot;$&quot;\-#,##0.00">
                  <c:v>3690.6811859120385</c:v>
                </c:pt>
                <c:pt idx="5" formatCode="&quot;$&quot;#,##0.00;&quot;$&quot;\-#,##0.00">
                  <c:v>3680.7548184948355</c:v>
                </c:pt>
                <c:pt idx="6" formatCode="&quot;$&quot;#,##0.00;&quot;$&quot;\-#,##0.00">
                  <c:v>3718.805336940482</c:v>
                </c:pt>
                <c:pt idx="7" formatCode="&quot;$&quot;#,##0.00;&quot;$&quot;\-#,##0.00">
                  <c:v>3656.0393261190356</c:v>
                </c:pt>
                <c:pt idx="8" formatCode="&quot;$&quot;#,##0.00;&quot;$&quot;\-#,##0.00">
                  <c:v>3636.3947710000002</c:v>
                </c:pt>
                <c:pt idx="9" formatCode="&quot;$&quot;#,##0.00;&quot;$&quot;\-#,##0.00">
                  <c:v>3663.4715470000001</c:v>
                </c:pt>
                <c:pt idx="10" formatCode="&quot;$&quot;#,##0.00;&quot;$&quot;\-#,##0.00">
                  <c:v>3588.7860301604837</c:v>
                </c:pt>
                <c:pt idx="11" formatCode="&quot;$&quot;#,##0.00;&quot;$&quot;\-#,##0.00">
                  <c:v>3519.5623093045092</c:v>
                </c:pt>
                <c:pt idx="12" formatCode="&quot;$&quot;#,##0.00;&quot;$&quot;\-#,##0.00">
                  <c:v>3507.9163956456623</c:v>
                </c:pt>
                <c:pt idx="13" formatCode="&quot;$&quot;#,##0.00;&quot;$&quot;\-#,##0.00">
                  <c:v>3591.2125060749067</c:v>
                </c:pt>
                <c:pt idx="14" formatCode="&quot;$&quot;#,##0.00;&quot;$&quot;\-#,##0.00">
                  <c:v>3699.5715347919026</c:v>
                </c:pt>
                <c:pt idx="15" formatCode="&quot;$&quot;#,##0.00;&quot;$&quot;\-#,##0.00">
                  <c:v>3651.542496645844</c:v>
                </c:pt>
                <c:pt idx="16" formatCode="&quot;$&quot;#,##0.00;&quot;$&quot;\-#,##0.00">
                  <c:v>3680.7187217696887</c:v>
                </c:pt>
                <c:pt idx="17" formatCode="&quot;$&quot;#,##0.00;&quot;$&quot;\-#,##0.00">
                  <c:v>3656.6078374228196</c:v>
                </c:pt>
                <c:pt idx="18" formatCode="&quot;$&quot;#,##0.00;&quot;$&quot;\-#,##0.00">
                  <c:v>3406.0431943402796</c:v>
                </c:pt>
                <c:pt idx="19" formatCode="&quot;$&quot;#,##0.00;&quot;$&quot;\-#,##0.00">
                  <c:v>3258.2388148959717</c:v>
                </c:pt>
                <c:pt idx="20" formatCode="&quot;$&quot;#,##0.00;&quot;$&quot;\-#,##0.00">
                  <c:v>3150.1406247099676</c:v>
                </c:pt>
                <c:pt idx="21" formatCode="&quot;$&quot;#,##0.00;&quot;$&quot;\-#,##0.00">
                  <c:v>3019.4425236266375</c:v>
                </c:pt>
                <c:pt idx="22" formatCode="&quot;$&quot;#,##0.00;&quot;$&quot;\-#,##0.00">
                  <c:v>2877.9680621536418</c:v>
                </c:pt>
                <c:pt idx="23" formatCode="&quot;$&quot;#,##0.00;&quot;$&quot;\-#,##0.00">
                  <c:v>2750.2924658515003</c:v>
                </c:pt>
                <c:pt idx="24" formatCode="&quot;$&quot;#,##0.00;&quot;$&quot;\-#,##0.00">
                  <c:v>2628.2363736852026</c:v>
                </c:pt>
              </c:numCache>
            </c:numRef>
          </c:yVal>
        </c:ser>
        <c:ser>
          <c:idx val="1"/>
          <c:order val="1"/>
          <c:tx>
            <c:strRef>
              <c:f>'Rev and Major Expenditures'!$A$20</c:f>
              <c:strCache>
                <c:ptCount val="1"/>
                <c:pt idx="0">
                  <c:v>Public School Operating  (School Transfer Fund)</c:v>
                </c:pt>
              </c:strCache>
            </c:strRef>
          </c:tx>
          <c:marker>
            <c:symbol val="none"/>
          </c:marker>
          <c:xVal>
            <c:numRef>
              <c:f>'Rev and Major Expenditures'!$B$18:$Z$18</c:f>
              <c:numCache>
                <c:formatCode>General</c:formatCode>
                <c:ptCount val="25"/>
                <c:pt idx="2">
                  <c:v>2017</c:v>
                </c:pt>
                <c:pt idx="3">
                  <c:v>2016</c:v>
                </c:pt>
                <c:pt idx="4">
                  <c:v>2016</c:v>
                </c:pt>
                <c:pt idx="5">
                  <c:v>2015</c:v>
                </c:pt>
                <c:pt idx="6">
                  <c:v>2015</c:v>
                </c:pt>
                <c:pt idx="7">
                  <c:v>2015</c:v>
                </c:pt>
                <c:pt idx="8">
                  <c:v>2014</c:v>
                </c:pt>
                <c:pt idx="9">
                  <c:v>2014</c:v>
                </c:pt>
                <c:pt idx="10">
                  <c:v>2013</c:v>
                </c:pt>
                <c:pt idx="11">
                  <c:v>2012</c:v>
                </c:pt>
                <c:pt idx="12">
                  <c:v>2011</c:v>
                </c:pt>
                <c:pt idx="13">
                  <c:v>2010</c:v>
                </c:pt>
                <c:pt idx="14">
                  <c:v>2009</c:v>
                </c:pt>
                <c:pt idx="15">
                  <c:v>2008</c:v>
                </c:pt>
                <c:pt idx="16">
                  <c:v>2007</c:v>
                </c:pt>
                <c:pt idx="17">
                  <c:v>2006</c:v>
                </c:pt>
                <c:pt idx="18">
                  <c:v>2005</c:v>
                </c:pt>
                <c:pt idx="19">
                  <c:v>2004</c:v>
                </c:pt>
                <c:pt idx="20">
                  <c:v>2003</c:v>
                </c:pt>
                <c:pt idx="21">
                  <c:v>2002</c:v>
                </c:pt>
                <c:pt idx="22">
                  <c:v>2001</c:v>
                </c:pt>
                <c:pt idx="23">
                  <c:v>2000</c:v>
                </c:pt>
                <c:pt idx="24">
                  <c:v>1999</c:v>
                </c:pt>
              </c:numCache>
            </c:numRef>
          </c:xVal>
          <c:yVal>
            <c:numRef>
              <c:f>'Rev and Major Expenditures'!$B$20:$Z$20</c:f>
              <c:numCache>
                <c:formatCode>General</c:formatCode>
                <c:ptCount val="25"/>
                <c:pt idx="2" formatCode="&quot;$&quot;#,##0.00;&quot;$&quot;\-#,##0.00">
                  <c:v>1801.3597046175439</c:v>
                </c:pt>
                <c:pt idx="3" formatCode="&quot;$&quot;#,##0.00;&quot;$&quot;\-#,##0.00">
                  <c:v>1766.3818466043194</c:v>
                </c:pt>
                <c:pt idx="4" formatCode="&quot;$&quot;#,##0.00;&quot;$&quot;\-#,##0.00">
                  <c:v>1766.3818466043194</c:v>
                </c:pt>
                <c:pt idx="5" formatCode="&quot;$&quot;#,##0.00;&quot;$&quot;\-#,##0.00">
                  <c:v>1739.7918278406296</c:v>
                </c:pt>
                <c:pt idx="6" formatCode="&quot;$&quot;#,##0.00;&quot;$&quot;\-#,##0.00">
                  <c:v>1739.7918278406296</c:v>
                </c:pt>
                <c:pt idx="7" formatCode="&quot;$&quot;#,##0.00;&quot;$&quot;\-#,##0.00">
                  <c:v>1739.7918278406296</c:v>
                </c:pt>
                <c:pt idx="8" formatCode="&quot;$&quot;#,##0.00;&quot;$&quot;\-#,##0.00">
                  <c:v>1716.9887309999999</c:v>
                </c:pt>
                <c:pt idx="9" formatCode="&quot;$&quot;#,##0.00;&quot;$&quot;\-#,##0.00">
                  <c:v>1716.9887309999999</c:v>
                </c:pt>
                <c:pt idx="10" formatCode="&quot;$&quot;#,##0.00;&quot;$&quot;\-#,##0.00">
                  <c:v>1710.629525891103</c:v>
                </c:pt>
                <c:pt idx="11" formatCode="&quot;$&quot;#,##0.00;&quot;$&quot;\-#,##0.00">
                  <c:v>1660.9448662940576</c:v>
                </c:pt>
                <c:pt idx="12" formatCode="&quot;$&quot;#,##0.00;&quot;$&quot;\-#,##0.00">
                  <c:v>1696.1108081584348</c:v>
                </c:pt>
                <c:pt idx="13" formatCode="&quot;$&quot;#,##0.00;&quot;$&quot;\-#,##0.00">
                  <c:v>1765.9464523953129</c:v>
                </c:pt>
                <c:pt idx="14" formatCode="&quot;$&quot;#,##0.00;&quot;$&quot;\-#,##0.00">
                  <c:v>1794.9128570992993</c:v>
                </c:pt>
                <c:pt idx="15" formatCode="&quot;$&quot;#,##0.00;&quot;$&quot;\-#,##0.00">
                  <c:v>1744.5450038171587</c:v>
                </c:pt>
                <c:pt idx="16" formatCode="&quot;$&quot;#,##0.00;&quot;$&quot;\-#,##0.00">
                  <c:v>1750.5771770979936</c:v>
                </c:pt>
                <c:pt idx="17" formatCode="&quot;$&quot;#,##0.00;&quot;$&quot;\-#,##0.00">
                  <c:v>1680.8007376578541</c:v>
                </c:pt>
                <c:pt idx="18" formatCode="&quot;$&quot;#,##0.00;&quot;$&quot;\-#,##0.00">
                  <c:v>1602.9380231916532</c:v>
                </c:pt>
                <c:pt idx="19" formatCode="&quot;$&quot;#,##0.00;&quot;$&quot;\-#,##0.00">
                  <c:v>1555.0775457948273</c:v>
                </c:pt>
                <c:pt idx="20" formatCode="&quot;$&quot;#,##0.00;&quot;$&quot;\-#,##0.00">
                  <c:v>1503.8861414187854</c:v>
                </c:pt>
                <c:pt idx="21" formatCode="&quot;$&quot;#,##0.00;&quot;$&quot;\-#,##0.00">
                  <c:v>1421.0904360962127</c:v>
                </c:pt>
                <c:pt idx="22" formatCode="&quot;$&quot;#,##0.00;&quot;$&quot;\-#,##0.00">
                  <c:v>1320.6976150373011</c:v>
                </c:pt>
                <c:pt idx="23" formatCode="&quot;$&quot;#,##0.00;&quot;$&quot;\-#,##0.00">
                  <c:v>1233.7399536936557</c:v>
                </c:pt>
                <c:pt idx="24" formatCode="&quot;$&quot;#,##0.00;&quot;$&quot;\-#,##0.00">
                  <c:v>1210.8612003852645</c:v>
                </c:pt>
              </c:numCache>
            </c:numRef>
          </c:yVal>
        </c:ser>
        <c:axId val="169119744"/>
        <c:axId val="169121280"/>
      </c:scatterChart>
      <c:valAx>
        <c:axId val="169119744"/>
        <c:scaling>
          <c:orientation val="minMax"/>
        </c:scaling>
        <c:axPos val="b"/>
        <c:majorGridlines/>
        <c:numFmt formatCode="General" sourceLinked="1"/>
        <c:tickLblPos val="nextTo"/>
        <c:crossAx val="169121280"/>
        <c:crosses val="autoZero"/>
        <c:crossBetween val="midCat"/>
      </c:valAx>
      <c:valAx>
        <c:axId val="169121280"/>
        <c:scaling>
          <c:orientation val="minMax"/>
        </c:scaling>
        <c:axPos val="l"/>
        <c:majorGridlines/>
        <c:numFmt formatCode="General" sourceLinked="1"/>
        <c:tickLblPos val="nextTo"/>
        <c:crossAx val="169119744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scatterChart>
        <c:scatterStyle val="lineMarker"/>
        <c:ser>
          <c:idx val="3"/>
          <c:order val="0"/>
          <c:tx>
            <c:strRef>
              <c:f>'GenFund Statement'!$A$9</c:f>
              <c:strCache>
                <c:ptCount val="1"/>
                <c:pt idx="0">
                  <c:v>Real Property Taxes</c:v>
                </c:pt>
              </c:strCache>
            </c:strRef>
          </c:tx>
          <c:marker>
            <c:symbol val="none"/>
          </c:marker>
          <c:xVal>
            <c:numRef>
              <c:f>'GenFund Statement'!$F$3:$Z$3</c:f>
              <c:numCache>
                <c:formatCode>General</c:formatCode>
                <c:ptCount val="21"/>
                <c:pt idx="0">
                  <c:v>2016</c:v>
                </c:pt>
                <c:pt idx="1">
                  <c:v>2015</c:v>
                </c:pt>
                <c:pt idx="2">
                  <c:v>2015</c:v>
                </c:pt>
                <c:pt idx="3">
                  <c:v>2015</c:v>
                </c:pt>
                <c:pt idx="4">
                  <c:v>2014</c:v>
                </c:pt>
                <c:pt idx="5">
                  <c:v>2014</c:v>
                </c:pt>
                <c:pt idx="6">
                  <c:v>2013</c:v>
                </c:pt>
                <c:pt idx="7">
                  <c:v>2012</c:v>
                </c:pt>
                <c:pt idx="8">
                  <c:v>2011</c:v>
                </c:pt>
                <c:pt idx="9">
                  <c:v>2010</c:v>
                </c:pt>
                <c:pt idx="10">
                  <c:v>2009</c:v>
                </c:pt>
                <c:pt idx="11">
                  <c:v>2008</c:v>
                </c:pt>
                <c:pt idx="12">
                  <c:v>2007</c:v>
                </c:pt>
                <c:pt idx="13">
                  <c:v>2006</c:v>
                </c:pt>
                <c:pt idx="14">
                  <c:v>2005</c:v>
                </c:pt>
                <c:pt idx="15">
                  <c:v>2004</c:v>
                </c:pt>
                <c:pt idx="16">
                  <c:v>2003</c:v>
                </c:pt>
                <c:pt idx="17">
                  <c:v>2002</c:v>
                </c:pt>
                <c:pt idx="18">
                  <c:v>2001</c:v>
                </c:pt>
                <c:pt idx="19">
                  <c:v>2000</c:v>
                </c:pt>
                <c:pt idx="20">
                  <c:v>1999</c:v>
                </c:pt>
              </c:numCache>
            </c:numRef>
          </c:xVal>
          <c:yVal>
            <c:numRef>
              <c:f>'GenFund Statement'!$F$9:$Z$9</c:f>
              <c:numCache>
                <c:formatCode>"$"#,##0;"$"\-#,##0</c:formatCode>
                <c:ptCount val="21"/>
                <c:pt idx="0" formatCode="&quot;$&quot;#,##0_);\(&quot;$&quot;#,##0\)">
                  <c:v>2434215819</c:v>
                </c:pt>
                <c:pt idx="1">
                  <c:v>2357117530</c:v>
                </c:pt>
                <c:pt idx="2" formatCode="&quot;$&quot;#,##0_);\(&quot;$&quot;#,##0\)">
                  <c:v>2353636574</c:v>
                </c:pt>
                <c:pt idx="3" formatCode="&quot;$&quot;#,##0_);\(&quot;$&quot;#,##0\)">
                  <c:v>2353636574</c:v>
                </c:pt>
                <c:pt idx="4" formatCode="&quot;$&quot;#,##0_);\(&quot;$&quot;#,##0\)">
                  <c:v>2216159309</c:v>
                </c:pt>
                <c:pt idx="5" formatCode="&quot;$&quot;#,##0_);\(&quot;$&quot;#,##0\)">
                  <c:v>2216599964</c:v>
                </c:pt>
                <c:pt idx="6" formatCode="&quot;$&quot;#,##0_);\(&quot;$&quot;#,##0\)">
                  <c:v>2123406700</c:v>
                </c:pt>
                <c:pt idx="7">
                  <c:v>2047283817</c:v>
                </c:pt>
                <c:pt idx="8">
                  <c:v>2019836905</c:v>
                </c:pt>
                <c:pt idx="9">
                  <c:v>2115971076</c:v>
                </c:pt>
                <c:pt idx="10">
                  <c:v>2047846868</c:v>
                </c:pt>
                <c:pt idx="11">
                  <c:v>1975114074</c:v>
                </c:pt>
                <c:pt idx="12">
                  <c:v>1896010205</c:v>
                </c:pt>
                <c:pt idx="13">
                  <c:v>1783844578</c:v>
                </c:pt>
                <c:pt idx="14">
                  <c:v>1637904220</c:v>
                </c:pt>
                <c:pt idx="15">
                  <c:v>1500730717</c:v>
                </c:pt>
                <c:pt idx="16">
                  <c:v>1396533630</c:v>
                </c:pt>
                <c:pt idx="17">
                  <c:v>1233203875</c:v>
                </c:pt>
                <c:pt idx="18">
                  <c:v>1085995525</c:v>
                </c:pt>
                <c:pt idx="19">
                  <c:v>1000802816</c:v>
                </c:pt>
                <c:pt idx="20">
                  <c:v>943374446</c:v>
                </c:pt>
              </c:numCache>
            </c:numRef>
          </c:yVal>
        </c:ser>
        <c:ser>
          <c:idx val="5"/>
          <c:order val="1"/>
          <c:tx>
            <c:strRef>
              <c:f>'GenFund Statement'!$A$11</c:f>
              <c:strCache>
                <c:ptCount val="1"/>
                <c:pt idx="0">
                  <c:v>General Other Local Taxes</c:v>
                </c:pt>
              </c:strCache>
            </c:strRef>
          </c:tx>
          <c:marker>
            <c:symbol val="none"/>
          </c:marker>
          <c:xVal>
            <c:numRef>
              <c:f>'GenFund Statement'!$F$3:$Z$3</c:f>
              <c:numCache>
                <c:formatCode>General</c:formatCode>
                <c:ptCount val="21"/>
                <c:pt idx="0">
                  <c:v>2016</c:v>
                </c:pt>
                <c:pt idx="1">
                  <c:v>2015</c:v>
                </c:pt>
                <c:pt idx="2">
                  <c:v>2015</c:v>
                </c:pt>
                <c:pt idx="3">
                  <c:v>2015</c:v>
                </c:pt>
                <c:pt idx="4">
                  <c:v>2014</c:v>
                </c:pt>
                <c:pt idx="5">
                  <c:v>2014</c:v>
                </c:pt>
                <c:pt idx="6">
                  <c:v>2013</c:v>
                </c:pt>
                <c:pt idx="7">
                  <c:v>2012</c:v>
                </c:pt>
                <c:pt idx="8">
                  <c:v>2011</c:v>
                </c:pt>
                <c:pt idx="9">
                  <c:v>2010</c:v>
                </c:pt>
                <c:pt idx="10">
                  <c:v>2009</c:v>
                </c:pt>
                <c:pt idx="11">
                  <c:v>2008</c:v>
                </c:pt>
                <c:pt idx="12">
                  <c:v>2007</c:v>
                </c:pt>
                <c:pt idx="13">
                  <c:v>2006</c:v>
                </c:pt>
                <c:pt idx="14">
                  <c:v>2005</c:v>
                </c:pt>
                <c:pt idx="15">
                  <c:v>2004</c:v>
                </c:pt>
                <c:pt idx="16">
                  <c:v>2003</c:v>
                </c:pt>
                <c:pt idx="17">
                  <c:v>2002</c:v>
                </c:pt>
                <c:pt idx="18">
                  <c:v>2001</c:v>
                </c:pt>
                <c:pt idx="19">
                  <c:v>2000</c:v>
                </c:pt>
                <c:pt idx="20">
                  <c:v>1999</c:v>
                </c:pt>
              </c:numCache>
            </c:numRef>
          </c:xVal>
          <c:yVal>
            <c:numRef>
              <c:f>'GenFund Statement'!$F$11:$Z$11</c:f>
              <c:numCache>
                <c:formatCode>"$"#,##0;"$"\-#,##0</c:formatCode>
                <c:ptCount val="21"/>
                <c:pt idx="0" formatCode="&quot;$&quot;#,##0_);\(&quot;$&quot;#,##0\)">
                  <c:v>495137332</c:v>
                </c:pt>
                <c:pt idx="1">
                  <c:v>506567278</c:v>
                </c:pt>
                <c:pt idx="2" formatCode="&quot;$&quot;#,##0_);\(&quot;$&quot;#,##0\)">
                  <c:v>488355945</c:v>
                </c:pt>
                <c:pt idx="3" formatCode="&quot;$&quot;#,##0_);\(&quot;$&quot;#,##0\)">
                  <c:v>497075274</c:v>
                </c:pt>
                <c:pt idx="4" formatCode="&quot;$&quot;#,##0_);\(&quot;$&quot;#,##0\)">
                  <c:v>514822178</c:v>
                </c:pt>
                <c:pt idx="5" formatCode="&quot;$&quot;#,##0_);\(&quot;$&quot;#,##0\)">
                  <c:v>521969977</c:v>
                </c:pt>
                <c:pt idx="6" formatCode="&quot;$&quot;#,##0_);\(&quot;$&quot;#,##0\)">
                  <c:v>530960414</c:v>
                </c:pt>
                <c:pt idx="7">
                  <c:v>517375740</c:v>
                </c:pt>
                <c:pt idx="8">
                  <c:v>505517224</c:v>
                </c:pt>
                <c:pt idx="9">
                  <c:v>460148029</c:v>
                </c:pt>
                <c:pt idx="10">
                  <c:v>460416709</c:v>
                </c:pt>
                <c:pt idx="11">
                  <c:v>474030041</c:v>
                </c:pt>
                <c:pt idx="12">
                  <c:v>480451990</c:v>
                </c:pt>
                <c:pt idx="13">
                  <c:v>498105451</c:v>
                </c:pt>
                <c:pt idx="14">
                  <c:v>463173399</c:v>
                </c:pt>
                <c:pt idx="15">
                  <c:v>408231887</c:v>
                </c:pt>
                <c:pt idx="16">
                  <c:v>373594301</c:v>
                </c:pt>
                <c:pt idx="17">
                  <c:v>360262632</c:v>
                </c:pt>
                <c:pt idx="18">
                  <c:v>360365264</c:v>
                </c:pt>
                <c:pt idx="19">
                  <c:v>343196780</c:v>
                </c:pt>
                <c:pt idx="20">
                  <c:v>317892559</c:v>
                </c:pt>
              </c:numCache>
            </c:numRef>
          </c:yVal>
        </c:ser>
        <c:axId val="169672064"/>
        <c:axId val="169411712"/>
      </c:scatterChart>
      <c:valAx>
        <c:axId val="169672064"/>
        <c:scaling>
          <c:orientation val="minMax"/>
        </c:scaling>
        <c:axPos val="b"/>
        <c:majorGridlines/>
        <c:numFmt formatCode="General" sourceLinked="1"/>
        <c:tickLblPos val="nextTo"/>
        <c:crossAx val="169411712"/>
        <c:crosses val="autoZero"/>
        <c:crossBetween val="midCat"/>
      </c:valAx>
      <c:valAx>
        <c:axId val="169411712"/>
        <c:scaling>
          <c:orientation val="minMax"/>
        </c:scaling>
        <c:axPos val="l"/>
        <c:majorGridlines/>
        <c:numFmt formatCode="&quot;$&quot;#,##0_);\(&quot;$&quot;#,##0\)" sourceLinked="1"/>
        <c:tickLblPos val="nextTo"/>
        <c:crossAx val="169672064"/>
        <c:crosses val="autoZero"/>
        <c:crossBetween val="midCat"/>
      </c:valAx>
    </c:plotArea>
    <c:legend>
      <c:legendPos val="r"/>
    </c:legend>
    <c:plotVisOnly val="1"/>
  </c:chart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5.xml"/><Relationship Id="rId1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542925</xdr:colOff>
      <xdr:row>1</xdr:row>
      <xdr:rowOff>0</xdr:rowOff>
    </xdr:from>
    <xdr:to>
      <xdr:col>18</xdr:col>
      <xdr:colOff>419100</xdr:colOff>
      <xdr:row>20</xdr:row>
      <xdr:rowOff>85725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342900</xdr:colOff>
      <xdr:row>1</xdr:row>
      <xdr:rowOff>19050</xdr:rowOff>
    </xdr:from>
    <xdr:to>
      <xdr:col>8</xdr:col>
      <xdr:colOff>438150</xdr:colOff>
      <xdr:row>20</xdr:row>
      <xdr:rowOff>123825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247650</xdr:colOff>
      <xdr:row>28</xdr:row>
      <xdr:rowOff>0</xdr:rowOff>
    </xdr:from>
    <xdr:to>
      <xdr:col>8</xdr:col>
      <xdr:colOff>361950</xdr:colOff>
      <xdr:row>45</xdr:row>
      <xdr:rowOff>152400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76198</xdr:colOff>
      <xdr:row>52</xdr:row>
      <xdr:rowOff>171449</xdr:rowOff>
    </xdr:from>
    <xdr:to>
      <xdr:col>18</xdr:col>
      <xdr:colOff>542925</xdr:colOff>
      <xdr:row>72</xdr:row>
      <xdr:rowOff>28574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485774</xdr:colOff>
      <xdr:row>27</xdr:row>
      <xdr:rowOff>171449</xdr:rowOff>
    </xdr:from>
    <xdr:to>
      <xdr:col>18</xdr:col>
      <xdr:colOff>361949</xdr:colOff>
      <xdr:row>45</xdr:row>
      <xdr:rowOff>142874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590550</xdr:colOff>
      <xdr:row>52</xdr:row>
      <xdr:rowOff>161925</xdr:rowOff>
    </xdr:from>
    <xdr:to>
      <xdr:col>8</xdr:col>
      <xdr:colOff>285750</xdr:colOff>
      <xdr:row>72</xdr:row>
      <xdr:rowOff>0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142875</xdr:colOff>
      <xdr:row>23</xdr:row>
      <xdr:rowOff>47625</xdr:rowOff>
    </xdr:from>
    <xdr:to>
      <xdr:col>26</xdr:col>
      <xdr:colOff>571500</xdr:colOff>
      <xdr:row>37</xdr:row>
      <xdr:rowOff>28575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85725</xdr:colOff>
      <xdr:row>9</xdr:row>
      <xdr:rowOff>9525</xdr:rowOff>
    </xdr:from>
    <xdr:to>
      <xdr:col>26</xdr:col>
      <xdr:colOff>514350</xdr:colOff>
      <xdr:row>22</xdr:row>
      <xdr:rowOff>180975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171450</xdr:colOff>
      <xdr:row>8</xdr:row>
      <xdr:rowOff>19050</xdr:rowOff>
    </xdr:from>
    <xdr:to>
      <xdr:col>29</xdr:col>
      <xdr:colOff>190500</xdr:colOff>
      <xdr:row>22</xdr:row>
      <xdr:rowOff>38100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495300</xdr:colOff>
      <xdr:row>13</xdr:row>
      <xdr:rowOff>19050</xdr:rowOff>
    </xdr:from>
    <xdr:to>
      <xdr:col>15</xdr:col>
      <xdr:colOff>180975</xdr:colOff>
      <xdr:row>27</xdr:row>
      <xdr:rowOff>95250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352425</xdr:colOff>
      <xdr:row>5</xdr:row>
      <xdr:rowOff>142875</xdr:rowOff>
    </xdr:from>
    <xdr:to>
      <xdr:col>13</xdr:col>
      <xdr:colOff>19050</xdr:colOff>
      <xdr:row>19</xdr:row>
      <xdr:rowOff>180975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333374</xdr:colOff>
      <xdr:row>23</xdr:row>
      <xdr:rowOff>95250</xdr:rowOff>
    </xdr:from>
    <xdr:to>
      <xdr:col>14</xdr:col>
      <xdr:colOff>19050</xdr:colOff>
      <xdr:row>41</xdr:row>
      <xdr:rowOff>76200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276225</xdr:colOff>
      <xdr:row>47</xdr:row>
      <xdr:rowOff>180975</xdr:rowOff>
    </xdr:from>
    <xdr:to>
      <xdr:col>11</xdr:col>
      <xdr:colOff>495300</xdr:colOff>
      <xdr:row>62</xdr:row>
      <xdr:rowOff>66675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542925</xdr:colOff>
      <xdr:row>20</xdr:row>
      <xdr:rowOff>123824</xdr:rowOff>
    </xdr:from>
    <xdr:to>
      <xdr:col>4</xdr:col>
      <xdr:colOff>733425</xdr:colOff>
      <xdr:row>32</xdr:row>
      <xdr:rowOff>161925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390525</xdr:colOff>
      <xdr:row>81</xdr:row>
      <xdr:rowOff>123825</xdr:rowOff>
    </xdr:from>
    <xdr:to>
      <xdr:col>7</xdr:col>
      <xdr:colOff>38100</xdr:colOff>
      <xdr:row>96</xdr:row>
      <xdr:rowOff>9525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olitics/FC%20Fed%20Citizens%20Assoc/Reports%20-%20FCFCA/Supporting%20Excel%20Files/126%20SAT%20and%20Budgets%20-%20Fairfax%20vs%20Other%20Virginia%20Counties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olitics/FC%20Fed%20Citizens%20Assoc/Reports%20-%20FCFCA/Supporting%20Excel%20Files/178%202017%20Proposed%20school%20budget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ACOST~1/AppData/Local/Temp/141FCPSBudgets2000to2016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ACOST~1/AppData/Local/Temp/145%20Do%20People%20Leave%20when%20the%20Real-Estate%20Tax%20Is%20Increased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Politics/FC%20Fed%20Citizens%20Assoc/Reports%20-%20FCFCA/Supporting%20Excel%20Files/141FCPSBudgets2000to2016%20-%20working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raphs"/>
      <sheetName val="Data"/>
      <sheetName val="Per capita"/>
      <sheetName val="Sources"/>
      <sheetName val="FreqDist"/>
      <sheetName val="FIPS"/>
      <sheetName val="Teacher salary"/>
      <sheetName val="SAT"/>
      <sheetName val="SAT Correl"/>
      <sheetName val="Growth"/>
      <sheetName val="Map"/>
      <sheetName val="CPI"/>
      <sheetName val="Graduating seniors"/>
    </sheetNames>
    <sheetDataSet>
      <sheetData sheetId="0"/>
      <sheetData sheetId="1">
        <row r="12">
          <cell r="AR12" t="str">
            <v>SAT corrected to Fairfax demographics</v>
          </cell>
        </row>
        <row r="13">
          <cell r="R13">
            <v>42100.770289238717</v>
          </cell>
          <cell r="AR13">
            <v>1735.8436107802695</v>
          </cell>
        </row>
        <row r="14">
          <cell r="R14">
            <v>47830.26285102476</v>
          </cell>
          <cell r="AR14">
            <v>1895.0292160777076</v>
          </cell>
        </row>
        <row r="15">
          <cell r="R15">
            <v>48425.532095271905</v>
          </cell>
          <cell r="AR15">
            <v>1704.3711193202228</v>
          </cell>
        </row>
        <row r="16">
          <cell r="R16">
            <v>45800.79984767273</v>
          </cell>
          <cell r="AR16">
            <v>1703.7621599190738</v>
          </cell>
        </row>
        <row r="17">
          <cell r="R17">
            <v>47584.093197953669</v>
          </cell>
          <cell r="AR17">
            <v>1769.1864539282435</v>
          </cell>
        </row>
        <row r="18">
          <cell r="R18">
            <v>38706.752006791779</v>
          </cell>
          <cell r="AR18">
            <v>1750.5386472079576</v>
          </cell>
        </row>
        <row r="19">
          <cell r="R19">
            <v>59812.646352507174</v>
          </cell>
          <cell r="AR19">
            <v>1762.4202773021973</v>
          </cell>
        </row>
        <row r="20">
          <cell r="R20">
            <v>43168.963853696361</v>
          </cell>
          <cell r="AR20">
            <v>1805.4717902149864</v>
          </cell>
        </row>
        <row r="21">
          <cell r="R21">
            <v>52536.712315699428</v>
          </cell>
          <cell r="AR21">
            <v>1662.8699785758643</v>
          </cell>
        </row>
        <row r="22">
          <cell r="R22">
            <v>38657.319853971421</v>
          </cell>
          <cell r="AR22">
            <v>1779.0955527647566</v>
          </cell>
        </row>
        <row r="23">
          <cell r="R23">
            <v>38927.008444393803</v>
          </cell>
          <cell r="AR23">
            <v>1694.6370523309276</v>
          </cell>
        </row>
        <row r="24">
          <cell r="R24">
            <v>43533.002723559162</v>
          </cell>
          <cell r="AR24">
            <v>1764.1335018417485</v>
          </cell>
        </row>
        <row r="25">
          <cell r="R25">
            <v>39247.889136115969</v>
          </cell>
          <cell r="AR25">
            <v>1699.7317128097411</v>
          </cell>
        </row>
        <row r="26">
          <cell r="R26">
            <v>44152.105992193094</v>
          </cell>
          <cell r="AR26">
            <v>1676.8409772690886</v>
          </cell>
        </row>
        <row r="27">
          <cell r="R27">
            <v>50663.548853837805</v>
          </cell>
          <cell r="AR27">
            <v>1770.7761312593921</v>
          </cell>
        </row>
        <row r="28">
          <cell r="R28">
            <v>44643.852416166446</v>
          </cell>
          <cell r="AR28">
            <v>1731.6511309704467</v>
          </cell>
        </row>
        <row r="29">
          <cell r="R29">
            <v>45848.109950587699</v>
          </cell>
          <cell r="AR29">
            <v>1702.6899808132744</v>
          </cell>
        </row>
        <row r="30">
          <cell r="R30">
            <v>44742.361441826419</v>
          </cell>
          <cell r="AR30">
            <v>1727.2369288573659</v>
          </cell>
        </row>
        <row r="31">
          <cell r="R31">
            <v>44739.48099449485</v>
          </cell>
          <cell r="AR31">
            <v>1704.5620613415949</v>
          </cell>
        </row>
        <row r="32">
          <cell r="R32">
            <v>42570.650464365332</v>
          </cell>
          <cell r="AR32">
            <v>1747.2046744039453</v>
          </cell>
        </row>
        <row r="33">
          <cell r="R33">
            <v>48829.853555431946</v>
          </cell>
          <cell r="AR33">
            <v>1789.9580740861061</v>
          </cell>
        </row>
        <row r="34">
          <cell r="R34">
            <v>59325.268780314713</v>
          </cell>
          <cell r="AR34">
            <v>1734.1433462018199</v>
          </cell>
        </row>
        <row r="35">
          <cell r="R35">
            <v>43518.354422159558</v>
          </cell>
          <cell r="AR35">
            <v>1729.5321548491102</v>
          </cell>
        </row>
        <row r="36">
          <cell r="R36">
            <v>48850.960170492479</v>
          </cell>
          <cell r="AR36">
            <v>1761.1571810165476</v>
          </cell>
        </row>
        <row r="37">
          <cell r="R37">
            <v>49993.674137615322</v>
          </cell>
          <cell r="AR37">
            <v>1706.3106925736317</v>
          </cell>
        </row>
        <row r="38">
          <cell r="R38">
            <v>43477.474454270763</v>
          </cell>
          <cell r="AR38">
            <v>1665.7821719908432</v>
          </cell>
        </row>
        <row r="39">
          <cell r="R39">
            <v>47663.657751805309</v>
          </cell>
          <cell r="AR39">
            <v>1713.9027722327257</v>
          </cell>
        </row>
        <row r="40">
          <cell r="R40">
            <v>46619.769455203204</v>
          </cell>
          <cell r="AR40">
            <v>1762.1359371582225</v>
          </cell>
        </row>
        <row r="41">
          <cell r="R41">
            <v>58722.564392172273</v>
          </cell>
          <cell r="AR41">
            <v>1663</v>
          </cell>
        </row>
        <row r="42">
          <cell r="R42">
            <v>50643.384166899123</v>
          </cell>
          <cell r="AR42">
            <v>1774.5517298619495</v>
          </cell>
        </row>
        <row r="43">
          <cell r="R43">
            <v>58539.26264848157</v>
          </cell>
          <cell r="AR43">
            <v>1764.6621516851476</v>
          </cell>
        </row>
        <row r="44">
          <cell r="R44">
            <v>50243.368391169963</v>
          </cell>
          <cell r="AR44">
            <v>1786.712729474709</v>
          </cell>
        </row>
        <row r="45">
          <cell r="R45">
            <v>48799.389484259096</v>
          </cell>
          <cell r="AR45">
            <v>1745.2291166417092</v>
          </cell>
        </row>
        <row r="46">
          <cell r="R46">
            <v>42969.781238286501</v>
          </cell>
          <cell r="AR46">
            <v>1775.97834246313</v>
          </cell>
        </row>
        <row r="47">
          <cell r="R47">
            <v>41369.007565765642</v>
          </cell>
          <cell r="AR47">
            <v>1761.4731964198761</v>
          </cell>
        </row>
        <row r="48">
          <cell r="R48">
            <v>48381.797276970152</v>
          </cell>
          <cell r="AR48">
            <v>1742.1607652077839</v>
          </cell>
        </row>
        <row r="49">
          <cell r="R49">
            <v>47142.268580603632</v>
          </cell>
          <cell r="AR49">
            <v>1801.5761589436754</v>
          </cell>
        </row>
        <row r="50">
          <cell r="R50">
            <v>40985.163892528115</v>
          </cell>
          <cell r="AR50">
            <v>1699.0158918928116</v>
          </cell>
        </row>
        <row r="51">
          <cell r="R51">
            <v>38761.271569155513</v>
          </cell>
          <cell r="AR51">
            <v>1765.9112551337425</v>
          </cell>
        </row>
        <row r="52">
          <cell r="R52">
            <v>49940.420843714368</v>
          </cell>
          <cell r="AR52">
            <v>1782.2986464547566</v>
          </cell>
        </row>
        <row r="53">
          <cell r="R53">
            <v>37697.193604764369</v>
          </cell>
          <cell r="AR53">
            <v>1803.6436303570913</v>
          </cell>
        </row>
        <row r="54">
          <cell r="R54">
            <v>50973.849005263946</v>
          </cell>
          <cell r="AR54">
            <v>1794.5607537952314</v>
          </cell>
        </row>
        <row r="55">
          <cell r="R55">
            <v>49559.897461798719</v>
          </cell>
          <cell r="AR55">
            <v>1784.9421986221864</v>
          </cell>
        </row>
        <row r="56">
          <cell r="R56">
            <v>42784.144771352498</v>
          </cell>
          <cell r="AR56">
            <v>1713.0788560429216</v>
          </cell>
        </row>
        <row r="57">
          <cell r="R57">
            <v>42743.92924827223</v>
          </cell>
          <cell r="AR57">
            <v>1662.5239018614313</v>
          </cell>
        </row>
        <row r="58">
          <cell r="R58">
            <v>53383.818871958829</v>
          </cell>
          <cell r="AR58">
            <v>1799.7041585720706</v>
          </cell>
        </row>
        <row r="59">
          <cell r="R59">
            <v>47308.122178067868</v>
          </cell>
        </row>
        <row r="60">
          <cell r="R60">
            <v>46024.780915157426</v>
          </cell>
          <cell r="AR60">
            <v>1618.9254705044643</v>
          </cell>
        </row>
        <row r="61">
          <cell r="R61">
            <v>45220.656593674074</v>
          </cell>
          <cell r="AR61">
            <v>1792.0026646637734</v>
          </cell>
        </row>
        <row r="62">
          <cell r="R62">
            <v>47755.660475394419</v>
          </cell>
          <cell r="AR62">
            <v>1718.5538385682285</v>
          </cell>
        </row>
        <row r="63">
          <cell r="R63">
            <v>29082.592541133858</v>
          </cell>
          <cell r="AR63">
            <v>1701.204886080139</v>
          </cell>
        </row>
        <row r="64">
          <cell r="R64">
            <v>37904.425341195798</v>
          </cell>
          <cell r="AR64">
            <v>1687.7456679768022</v>
          </cell>
        </row>
        <row r="65">
          <cell r="R65">
            <v>57546.569646009099</v>
          </cell>
          <cell r="AR65">
            <v>1614.8312266901696</v>
          </cell>
        </row>
        <row r="66">
          <cell r="R66">
            <v>45839.502670714231</v>
          </cell>
          <cell r="AR66">
            <v>1730.4665876220545</v>
          </cell>
        </row>
        <row r="67">
          <cell r="R67">
            <v>47214.693988455161</v>
          </cell>
          <cell r="AR67">
            <v>1781.6720008219813</v>
          </cell>
        </row>
        <row r="68">
          <cell r="R68">
            <v>48677.443978672229</v>
          </cell>
          <cell r="AR68">
            <v>1773.5554604302661</v>
          </cell>
        </row>
        <row r="69">
          <cell r="R69">
            <v>34930.550441349944</v>
          </cell>
          <cell r="AR69">
            <v>1775.7856072083644</v>
          </cell>
        </row>
        <row r="70">
          <cell r="R70">
            <v>41585.058623480436</v>
          </cell>
          <cell r="AR70">
            <v>1763.4697929286936</v>
          </cell>
        </row>
        <row r="71">
          <cell r="R71">
            <v>42124.575553353599</v>
          </cell>
          <cell r="AR71">
            <v>1716.8405237684915</v>
          </cell>
        </row>
        <row r="72">
          <cell r="R72">
            <v>51930.569334207867</v>
          </cell>
          <cell r="AR72">
            <v>1825.2683854250813</v>
          </cell>
        </row>
        <row r="73">
          <cell r="R73">
            <v>43683.190081674475</v>
          </cell>
          <cell r="AR73">
            <v>1773.4754008241007</v>
          </cell>
        </row>
        <row r="74">
          <cell r="R74">
            <v>50382.499328753409</v>
          </cell>
          <cell r="AR74">
            <v>1747.1721069153814</v>
          </cell>
        </row>
        <row r="75">
          <cell r="R75">
            <v>61947.532314664153</v>
          </cell>
          <cell r="AR75">
            <v>1783.5296132565807</v>
          </cell>
        </row>
        <row r="76">
          <cell r="R76">
            <v>51989.219264251136</v>
          </cell>
          <cell r="AR76">
            <v>1679.900542179505</v>
          </cell>
        </row>
        <row r="77">
          <cell r="R77">
            <v>46813.506705254113</v>
          </cell>
          <cell r="AR77">
            <v>1764.2707226858658</v>
          </cell>
        </row>
        <row r="78">
          <cell r="R78">
            <v>42699.419500053191</v>
          </cell>
          <cell r="AR78">
            <v>1725.6934641032367</v>
          </cell>
        </row>
        <row r="79">
          <cell r="R79">
            <v>43273.220769663028</v>
          </cell>
          <cell r="AR79">
            <v>1735.143220285483</v>
          </cell>
        </row>
        <row r="80">
          <cell r="R80">
            <v>38204.092301458673</v>
          </cell>
          <cell r="AR80">
            <v>1693.2243576230003</v>
          </cell>
        </row>
        <row r="81">
          <cell r="R81">
            <v>50285.296235437454</v>
          </cell>
          <cell r="AR81">
            <v>1773.7097718174018</v>
          </cell>
        </row>
        <row r="82">
          <cell r="R82">
            <v>45501.358106047672</v>
          </cell>
          <cell r="AR82">
            <v>1769.9882734133248</v>
          </cell>
        </row>
        <row r="83">
          <cell r="R83">
            <v>49731.188860554401</v>
          </cell>
          <cell r="AR83">
            <v>1695.3041083618889</v>
          </cell>
        </row>
        <row r="84">
          <cell r="R84">
            <v>51662.93641676753</v>
          </cell>
          <cell r="AR84">
            <v>1767.5625648643343</v>
          </cell>
        </row>
        <row r="85">
          <cell r="R85">
            <v>60389.09697559302</v>
          </cell>
          <cell r="AR85">
            <v>1703.3428148944263</v>
          </cell>
        </row>
        <row r="86">
          <cell r="R86">
            <v>48840.22242831016</v>
          </cell>
          <cell r="AR86">
            <v>1701.2270453473236</v>
          </cell>
        </row>
        <row r="87">
          <cell r="R87">
            <v>41055.614257473659</v>
          </cell>
          <cell r="AR87">
            <v>1731.5804856116706</v>
          </cell>
        </row>
        <row r="88">
          <cell r="R88">
            <v>52844.71516166829</v>
          </cell>
          <cell r="AR88">
            <v>1825.3119068092167</v>
          </cell>
        </row>
        <row r="89">
          <cell r="R89">
            <v>52561.857460498693</v>
          </cell>
          <cell r="AR89">
            <v>1780.9504410135901</v>
          </cell>
        </row>
        <row r="90">
          <cell r="R90">
            <v>41600.512107998205</v>
          </cell>
          <cell r="AR90">
            <v>1796.0529929507238</v>
          </cell>
        </row>
        <row r="91">
          <cell r="R91">
            <v>45981.880577999254</v>
          </cell>
          <cell r="AR91">
            <v>1808.7870387334892</v>
          </cell>
        </row>
        <row r="92">
          <cell r="R92">
            <v>61313.439717893219</v>
          </cell>
          <cell r="AR92">
            <v>1735.066537002295</v>
          </cell>
        </row>
        <row r="93">
          <cell r="R93">
            <v>47298.567467556415</v>
          </cell>
          <cell r="AR93">
            <v>1731.2920580840876</v>
          </cell>
        </row>
        <row r="94">
          <cell r="R94">
            <v>44733.724832991218</v>
          </cell>
          <cell r="AR94">
            <v>1789.4294763034393</v>
          </cell>
        </row>
        <row r="95">
          <cell r="R95">
            <v>44941.87907268008</v>
          </cell>
          <cell r="AR95">
            <v>1739.9310251623237</v>
          </cell>
        </row>
        <row r="96">
          <cell r="R96">
            <v>47047.13156472487</v>
          </cell>
          <cell r="AR96">
            <v>1738.6717716372846</v>
          </cell>
        </row>
        <row r="97">
          <cell r="R97">
            <v>52614.236855675539</v>
          </cell>
          <cell r="AR97">
            <v>1731.6110708458987</v>
          </cell>
        </row>
        <row r="98">
          <cell r="R98">
            <v>55776.547787729105</v>
          </cell>
          <cell r="AR98">
            <v>1770.1910451617746</v>
          </cell>
        </row>
        <row r="99">
          <cell r="R99">
            <v>38817.50637195741</v>
          </cell>
          <cell r="AR99">
            <v>1730.171767801417</v>
          </cell>
        </row>
        <row r="100">
          <cell r="R100">
            <v>46531.298229546032</v>
          </cell>
          <cell r="AR100">
            <v>1684.5896975506353</v>
          </cell>
        </row>
        <row r="101">
          <cell r="R101">
            <v>38853.548427737078</v>
          </cell>
          <cell r="AR101">
            <v>1717.2288477222392</v>
          </cell>
        </row>
        <row r="102">
          <cell r="R102">
            <v>42496.52678157304</v>
          </cell>
          <cell r="AR102">
            <v>1694.1699502767003</v>
          </cell>
        </row>
        <row r="103">
          <cell r="R103">
            <v>39896.479481749404</v>
          </cell>
          <cell r="AR103">
            <v>1774.1089935634136</v>
          </cell>
        </row>
        <row r="104">
          <cell r="R104">
            <v>44052.996200840302</v>
          </cell>
          <cell r="AR104">
            <v>1758.9134036111425</v>
          </cell>
        </row>
        <row r="105">
          <cell r="R105">
            <v>46921.939268533461</v>
          </cell>
          <cell r="AR105">
            <v>1726.1642659860283</v>
          </cell>
        </row>
        <row r="106">
          <cell r="R106">
            <v>40597.714168154977</v>
          </cell>
          <cell r="AR106">
            <v>1744.6265459481028</v>
          </cell>
        </row>
        <row r="107">
          <cell r="R107">
            <v>47671.640895370219</v>
          </cell>
          <cell r="AR107">
            <v>1811.4080427413714</v>
          </cell>
        </row>
        <row r="108">
          <cell r="R108">
            <v>57154.044756717609</v>
          </cell>
          <cell r="AR108">
            <v>1674.4725780787278</v>
          </cell>
        </row>
        <row r="109">
          <cell r="R109">
            <v>49455.558016651914</v>
          </cell>
        </row>
        <row r="110">
          <cell r="R110">
            <v>49114.54173278762</v>
          </cell>
          <cell r="AR110">
            <v>1811.1983784334129</v>
          </cell>
        </row>
        <row r="111">
          <cell r="R111">
            <v>46963.906228076121</v>
          </cell>
          <cell r="AR111">
            <v>1751.6311033007205</v>
          </cell>
        </row>
        <row r="112">
          <cell r="R112">
            <v>53122.169819163617</v>
          </cell>
          <cell r="AR112">
            <v>1942.6147390877786</v>
          </cell>
        </row>
        <row r="113">
          <cell r="R113">
            <v>52875.96294914087</v>
          </cell>
          <cell r="AR113">
            <v>1819.470199472222</v>
          </cell>
        </row>
        <row r="114">
          <cell r="R114">
            <v>58764.809771863191</v>
          </cell>
          <cell r="AR114">
            <v>1709.8642086885513</v>
          </cell>
        </row>
        <row r="115">
          <cell r="R115">
            <v>50259.890575695164</v>
          </cell>
          <cell r="AR115">
            <v>1591.463532895714</v>
          </cell>
        </row>
        <row r="116">
          <cell r="R116">
            <v>49654.299362080135</v>
          </cell>
          <cell r="AR116">
            <v>1839.0394432764026</v>
          </cell>
        </row>
        <row r="117">
          <cell r="R117">
            <v>47442.614538861693</v>
          </cell>
        </row>
        <row r="118">
          <cell r="R118">
            <v>67478.954773869351</v>
          </cell>
        </row>
        <row r="119">
          <cell r="R119">
            <v>57007.237499999996</v>
          </cell>
          <cell r="AR119">
            <v>1853.5411691657985</v>
          </cell>
        </row>
        <row r="120">
          <cell r="R120">
            <v>46694.835400199161</v>
          </cell>
          <cell r="AR120">
            <v>1759.2077925366</v>
          </cell>
        </row>
        <row r="121">
          <cell r="R121">
            <v>53238.794193094516</v>
          </cell>
          <cell r="AR121">
            <v>1782.2029538659235</v>
          </cell>
        </row>
        <row r="122">
          <cell r="R122">
            <v>45868.442188914632</v>
          </cell>
          <cell r="AR122">
            <v>1697.2717319689568</v>
          </cell>
        </row>
        <row r="123">
          <cell r="R123">
            <v>46949.073722808615</v>
          </cell>
          <cell r="AR123">
            <v>1798.2131075644058</v>
          </cell>
        </row>
        <row r="124">
          <cell r="R124">
            <v>47790.334378851301</v>
          </cell>
          <cell r="AR124">
            <v>1767.4440974767913</v>
          </cell>
        </row>
        <row r="125">
          <cell r="R125">
            <v>51699.777907392134</v>
          </cell>
          <cell r="AR125">
            <v>1661.0701632474932</v>
          </cell>
        </row>
        <row r="126">
          <cell r="R126">
            <v>49228.145542460297</v>
          </cell>
        </row>
        <row r="127">
          <cell r="R127">
            <v>44961.654216449031</v>
          </cell>
          <cell r="AR127">
            <v>1840.8927245498919</v>
          </cell>
        </row>
        <row r="128">
          <cell r="R128">
            <v>65701.327116404587</v>
          </cell>
          <cell r="AR128">
            <v>1695.5565525747534</v>
          </cell>
        </row>
        <row r="129">
          <cell r="R129">
            <v>55127.372570465392</v>
          </cell>
          <cell r="AR129">
            <v>1666.1186308333574</v>
          </cell>
        </row>
        <row r="130">
          <cell r="R130">
            <v>45679.559597745982</v>
          </cell>
          <cell r="AR130">
            <v>1757.482747740783</v>
          </cell>
        </row>
        <row r="131">
          <cell r="R131">
            <v>58412.74802059857</v>
          </cell>
          <cell r="AR131">
            <v>1767.8665378391977</v>
          </cell>
        </row>
        <row r="132">
          <cell r="R132">
            <v>51463.150190533161</v>
          </cell>
          <cell r="AR132">
            <v>1766.2546206356476</v>
          </cell>
        </row>
        <row r="133">
          <cell r="R133">
            <v>43922.234390095582</v>
          </cell>
          <cell r="AR133">
            <v>1667.6862547479725</v>
          </cell>
        </row>
        <row r="134">
          <cell r="R134">
            <v>48000.995154151067</v>
          </cell>
          <cell r="AR134">
            <v>1742.2067586005819</v>
          </cell>
        </row>
        <row r="135">
          <cell r="R135">
            <v>45243.387408831775</v>
          </cell>
          <cell r="AR135">
            <v>1788.5674456907573</v>
          </cell>
        </row>
        <row r="136">
          <cell r="R136">
            <v>50932.205111781368</v>
          </cell>
          <cell r="AR136">
            <v>1728.0731698583343</v>
          </cell>
        </row>
        <row r="137">
          <cell r="R137">
            <v>54182.929245823172</v>
          </cell>
          <cell r="AR137">
            <v>1941.6045307857148</v>
          </cell>
        </row>
        <row r="138">
          <cell r="R138">
            <v>50021.045085352751</v>
          </cell>
          <cell r="AR138">
            <v>1671.631182390297</v>
          </cell>
        </row>
        <row r="139">
          <cell r="R139">
            <v>51263.800316796187</v>
          </cell>
          <cell r="AR139">
            <v>1762.8061124807948</v>
          </cell>
        </row>
        <row r="140">
          <cell r="R140">
            <v>48440.268550042543</v>
          </cell>
          <cell r="AR140">
            <v>1807.6880290112008</v>
          </cell>
        </row>
        <row r="141">
          <cell r="R141">
            <v>41510.374248192704</v>
          </cell>
          <cell r="AR141">
            <v>1764.7354828589152</v>
          </cell>
        </row>
        <row r="142">
          <cell r="R142">
            <v>48277.792714847761</v>
          </cell>
          <cell r="AR142">
            <v>1743.4941600814961</v>
          </cell>
        </row>
        <row r="143">
          <cell r="R143">
            <v>50533.666392334715</v>
          </cell>
          <cell r="AR143">
            <v>1751.6085412602686</v>
          </cell>
        </row>
        <row r="144">
          <cell r="R144">
            <v>47313.18751771286</v>
          </cell>
          <cell r="AR144">
            <v>1812.9700605894495</v>
          </cell>
        </row>
        <row r="145">
          <cell r="R145">
            <v>48798.497952185986</v>
          </cell>
          <cell r="AR145">
            <v>1847.2381392230129</v>
          </cell>
        </row>
        <row r="146">
          <cell r="R146">
            <v>51287.924700522759</v>
          </cell>
          <cell r="AR146">
            <v>1857.9815693719531</v>
          </cell>
        </row>
        <row r="147">
          <cell r="R147">
            <v>47832.885380158747</v>
          </cell>
          <cell r="AR147">
            <v>1749.9789977169698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ources"/>
      <sheetName val="Graphs"/>
      <sheetName val="Comparisons"/>
      <sheetName val="Derived data"/>
      <sheetName val="Budget summary"/>
      <sheetName val="Expenditure detail"/>
      <sheetName val="Revenue detail"/>
      <sheetName val="Positions"/>
      <sheetName val="Teacher pay scales"/>
      <sheetName val="Vs other districts"/>
    </sheetNames>
    <sheetDataSet>
      <sheetData sheetId="0" refreshError="1"/>
      <sheetData sheetId="1" refreshError="1"/>
      <sheetData sheetId="2" refreshError="1"/>
      <sheetData sheetId="3"/>
      <sheetData sheetId="4">
        <row r="6">
          <cell r="D6">
            <v>1407955382</v>
          </cell>
        </row>
        <row r="7">
          <cell r="D7">
            <v>66958012</v>
          </cell>
        </row>
        <row r="8">
          <cell r="D8">
            <v>50619955</v>
          </cell>
        </row>
        <row r="9">
          <cell r="D9">
            <v>7996000</v>
          </cell>
        </row>
        <row r="20">
          <cell r="D20">
            <v>2466283172</v>
          </cell>
        </row>
        <row r="67">
          <cell r="B67">
            <v>1476.0363950546434</v>
          </cell>
          <cell r="C67">
            <v>1433.3648007870142</v>
          </cell>
        </row>
        <row r="68">
          <cell r="B68">
            <v>69.839099037064045</v>
          </cell>
          <cell r="C68">
            <v>68.493592720118045</v>
          </cell>
        </row>
        <row r="69">
          <cell r="B69">
            <v>43.160193259811244</v>
          </cell>
          <cell r="C69">
            <v>41.635262174126908</v>
          </cell>
        </row>
        <row r="70">
          <cell r="B70">
            <v>15.553125519435948</v>
          </cell>
          <cell r="C70">
            <v>16.006319724545008</v>
          </cell>
        </row>
        <row r="81">
          <cell r="B81">
            <v>2586.9843518975763</v>
          </cell>
          <cell r="C81">
            <v>2510.1977973438275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lternative 2016 budget"/>
      <sheetName val="Graphs"/>
      <sheetName val="Budget summary"/>
      <sheetName val="Expenditure detail"/>
      <sheetName val="Revenue detail"/>
      <sheetName val="Positions 2000-2016"/>
      <sheetName val="Teacher pay scales"/>
      <sheetName val="History of raises"/>
      <sheetName val="Demographics"/>
      <sheetName val="County Balance"/>
    </sheetNames>
    <sheetDataSet>
      <sheetData sheetId="0" refreshError="1"/>
      <sheetData sheetId="1" refreshError="1"/>
      <sheetData sheetId="2" refreshError="1">
        <row r="6">
          <cell r="B6">
            <v>1457243789</v>
          </cell>
          <cell r="C6">
            <v>1434676183</v>
          </cell>
        </row>
        <row r="7">
          <cell r="C7">
            <v>68853542</v>
          </cell>
        </row>
        <row r="8">
          <cell r="C8">
            <v>48539940</v>
          </cell>
        </row>
        <row r="9">
          <cell r="C9">
            <v>22178823</v>
          </cell>
        </row>
        <row r="21">
          <cell r="C21">
            <v>2574845373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Graphs"/>
      <sheetName val="ACS"/>
      <sheetName val="promotions"/>
      <sheetName val="CountyOutflow0910"/>
      <sheetName val="CountyInflow0910"/>
      <sheetName val="Fairfax County"/>
      <sheetName val="Median household value"/>
      <sheetName val="HowMoneyWalks"/>
      <sheetName val="State-to-State"/>
    </sheetNames>
    <sheetDataSet>
      <sheetData sheetId="0" refreshError="1"/>
      <sheetData sheetId="1" refreshError="1">
        <row r="9">
          <cell r="J9">
            <v>54453.666376000001</v>
          </cell>
        </row>
        <row r="10">
          <cell r="J10">
            <v>54003.065424</v>
          </cell>
        </row>
        <row r="11">
          <cell r="J11">
            <v>52490.725953666006</v>
          </cell>
        </row>
        <row r="12">
          <cell r="J12">
            <v>50843.698831575013</v>
          </cell>
        </row>
        <row r="13">
          <cell r="J13">
            <v>48292.789995999992</v>
          </cell>
        </row>
        <row r="14">
          <cell r="J14">
            <v>50056.950435999999</v>
          </cell>
        </row>
        <row r="15">
          <cell r="J15">
            <v>48017.021001000001</v>
          </cell>
        </row>
        <row r="16">
          <cell r="J16">
            <v>45493.388863999993</v>
          </cell>
        </row>
        <row r="17">
          <cell r="J17">
            <v>43424.058911999993</v>
          </cell>
        </row>
        <row r="18">
          <cell r="J18">
            <v>40341.011474999999</v>
          </cell>
        </row>
        <row r="19">
          <cell r="J19">
            <v>37535.093766999998</v>
          </cell>
        </row>
        <row r="20">
          <cell r="J20">
            <v>37294.727200000001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lternative 2016 budget"/>
      <sheetName val="Graphs"/>
      <sheetName val="Budget summary"/>
      <sheetName val="Expenditure detail"/>
      <sheetName val="Revenue detail"/>
      <sheetName val="Positions 2000-2016"/>
      <sheetName val="Teacher pay scales"/>
      <sheetName val="History of raises"/>
      <sheetName val="Demographics"/>
      <sheetName val="County Balance"/>
      <sheetName val="Racial performance"/>
      <sheetName val="Effect of Pct taking SAT"/>
      <sheetName val="last 5 yrs"/>
    </sheetNames>
    <sheetDataSet>
      <sheetData sheetId="0"/>
      <sheetData sheetId="1"/>
      <sheetData sheetId="2">
        <row r="21">
          <cell r="C21">
            <v>2574845373</v>
          </cell>
          <cell r="E21">
            <v>2440217319</v>
          </cell>
          <cell r="F21">
            <v>2385624626</v>
          </cell>
          <cell r="G21">
            <v>2214486240</v>
          </cell>
          <cell r="H21">
            <v>2122771183</v>
          </cell>
          <cell r="I21">
            <v>2096962301</v>
          </cell>
          <cell r="J21">
            <v>2176658357</v>
          </cell>
          <cell r="K21">
            <v>2144142325</v>
          </cell>
          <cell r="L21">
            <v>2038808801</v>
          </cell>
          <cell r="M21">
            <v>1908812454</v>
          </cell>
          <cell r="N21">
            <v>1765819084</v>
          </cell>
          <cell r="O21">
            <v>1629074911</v>
          </cell>
          <cell r="P21">
            <v>1574341900</v>
          </cell>
          <cell r="Q21">
            <v>1442864500</v>
          </cell>
          <cell r="R21">
            <v>1374687500</v>
          </cell>
        </row>
      </sheetData>
      <sheetData sheetId="3"/>
      <sheetData sheetId="4"/>
      <sheetData sheetId="5">
        <row r="123">
          <cell r="D123">
            <v>23443.899999999998</v>
          </cell>
          <cell r="E123">
            <v>23447.399999999998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fairfaxcounty.gov/demogrph/census_summaries/acs-1year/acs2014.pdf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hyperlink" Target="http://www.fcps.edu/news/fy2014.shtml" TargetMode="External"/><Relationship Id="rId1" Type="http://schemas.openxmlformats.org/officeDocument/2006/relationships/hyperlink" Target="http://www.fcps.edu/fs/budget/wabe/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2">
    <pageSetUpPr fitToPage="1"/>
  </sheetPr>
  <dimension ref="C22:Q88"/>
  <sheetViews>
    <sheetView tabSelected="1" workbookViewId="0">
      <selection activeCell="K54" sqref="K54"/>
    </sheetView>
  </sheetViews>
  <sheetFormatPr defaultRowHeight="15"/>
  <cols>
    <col min="13" max="13" width="10.5703125" bestFit="1" customWidth="1"/>
  </cols>
  <sheetData>
    <row r="22" spans="3:13">
      <c r="C22" t="s">
        <v>634</v>
      </c>
      <c r="K22" t="s">
        <v>630</v>
      </c>
    </row>
    <row r="23" spans="3:13">
      <c r="D23" s="1">
        <f>'Rev and Major Expenditures'!$D$20/'Rev and Major Expenditures'!$E$20-1</f>
        <v>1.9801980008153697E-2</v>
      </c>
      <c r="E23" s="1" t="str">
        <f>'Rev and Major Expenditures'!$A$20</f>
        <v>Public School Operating  (School Transfer Fund)</v>
      </c>
      <c r="L23" s="1">
        <f>'Rev and Major Expenditures'!$D$6/'Rev and Major Expenditures'!$E$6-1</f>
        <v>5.7679544320561327E-2</v>
      </c>
      <c r="M23" s="1" t="str">
        <f>'Rev and Major Expenditures'!$A$6</f>
        <v>Real Property Taxes</v>
      </c>
    </row>
    <row r="24" spans="3:13">
      <c r="D24" s="1">
        <f>'Rev and Major Expenditures'!$D$21/'Rev and Major Expenditures'!$E$21-1</f>
        <v>3.0960789957435564E-2</v>
      </c>
      <c r="E24" s="1" t="str">
        <f>'Rev and Major Expenditures'!$A$21</f>
        <v>Personnel Services</v>
      </c>
      <c r="H24" s="1"/>
      <c r="L24" s="1">
        <f>'Rev and Major Expenditures'!$D$8/'Rev and Major Expenditures'!$E$8-1</f>
        <v>2.1772236733547112E-2</v>
      </c>
      <c r="M24" s="1" t="str">
        <f>'Rev and Major Expenditures'!$A$8</f>
        <v>General Other Local Taxes</v>
      </c>
    </row>
    <row r="25" spans="3:13">
      <c r="D25" s="1">
        <f>'Rev and Major Expenditures'!$D$23/'Rev and Major Expenditures'!$E$23-1</f>
        <v>1.059540597158648E-2</v>
      </c>
      <c r="E25" s="1" t="str">
        <f>'Rev and Major Expenditures'!$A$23</f>
        <v>Non-school Fringe Benefits, including OPEB's</v>
      </c>
      <c r="H25" s="1"/>
      <c r="L25" s="1">
        <f>'Rev and Major Expenditures'!$D$7/'Rev and Major Expenditures'!$E$7-1</f>
        <v>2.7315249166495192E-2</v>
      </c>
      <c r="M25" s="1" t="str">
        <f>'Rev and Major Expenditures'!$A$7</f>
        <v>Personal Property Taxes</v>
      </c>
    </row>
    <row r="26" spans="3:13">
      <c r="D26" s="1">
        <f>'Rev and Major Expenditures'!$D$22/'Rev and Major Expenditures'!$E$22-1</f>
        <v>1.4861557812920534E-2</v>
      </c>
      <c r="E26" s="1" t="str">
        <f>'Rev and Major Expenditures'!$A$22</f>
        <v>Operating Expenses</v>
      </c>
      <c r="L26" s="1">
        <f>'Rev and Major Expenditures'!$D$13/'Rev and Major Expenditures'!$E$13-1</f>
        <v>-1.2937860411935342E-2</v>
      </c>
      <c r="M26" s="1" t="str">
        <f>'Rev and Major Expenditures'!$A$13</f>
        <v>Revenue from the Commonwealth1</v>
      </c>
    </row>
    <row r="27" spans="3:13">
      <c r="C27" t="s">
        <v>649</v>
      </c>
      <c r="D27" s="1"/>
      <c r="E27" s="68">
        <v>8.0000000000000002E-3</v>
      </c>
      <c r="F27" t="s">
        <v>650</v>
      </c>
      <c r="L27" s="1"/>
      <c r="M27" s="1"/>
    </row>
    <row r="35" spans="3:17">
      <c r="M35" s="71" t="s">
        <v>535</v>
      </c>
    </row>
    <row r="45" spans="3:17">
      <c r="K45" t="s">
        <v>534</v>
      </c>
    </row>
    <row r="46" spans="3:17">
      <c r="K46" t="s">
        <v>500</v>
      </c>
    </row>
    <row r="47" spans="3:17">
      <c r="J47" s="2">
        <v>2017</v>
      </c>
      <c r="K47" t="s">
        <v>623</v>
      </c>
      <c r="M47" s="2" t="s">
        <v>632</v>
      </c>
      <c r="N47" t="s">
        <v>633</v>
      </c>
      <c r="Q47" t="s">
        <v>631</v>
      </c>
    </row>
    <row r="48" spans="3:17">
      <c r="C48" t="s">
        <v>634</v>
      </c>
      <c r="K48" t="s">
        <v>637</v>
      </c>
    </row>
    <row r="49" spans="4:12">
      <c r="D49" s="1">
        <f>'Rev and Major Expenditures'!$D$30/'Rev and Major Expenditures'!$E$30-1</f>
        <v>3.3828886228387089E-2</v>
      </c>
      <c r="K49" s="1">
        <f>'Rev and Major Expenditures'!D82-'Rev and Major Expenditures'!E82</f>
        <v>2.1558774515890028E-3</v>
      </c>
      <c r="L49" s="1" t="s">
        <v>636</v>
      </c>
    </row>
    <row r="50" spans="4:12">
      <c r="K50" s="1">
        <f>'Rev and Major Expenditures'!D81-'Rev and Major Expenditures'!E81</f>
        <v>5.9367069832848979E-4</v>
      </c>
      <c r="L50" t="s">
        <v>638</v>
      </c>
    </row>
    <row r="51" spans="4:12">
      <c r="K51" s="1">
        <f>'Rev and Major Expenditures'!D80-'Rev and Major Expenditures'!E80</f>
        <v>1.562206753260513E-3</v>
      </c>
      <c r="L51" t="s">
        <v>636</v>
      </c>
    </row>
    <row r="52" spans="4:12">
      <c r="K52" s="1"/>
    </row>
    <row r="58" spans="4:12">
      <c r="D58" s="71"/>
    </row>
    <row r="73" spans="4:15">
      <c r="K73" t="s">
        <v>538</v>
      </c>
    </row>
    <row r="74" spans="4:15">
      <c r="D74" t="s">
        <v>627</v>
      </c>
      <c r="K74" t="s">
        <v>639</v>
      </c>
      <c r="M74" s="48">
        <f>'Rev and Major Expenditures'!D20</f>
        <v>1801.3597046175439</v>
      </c>
      <c r="N74" t="s">
        <v>642</v>
      </c>
    </row>
    <row r="75" spans="4:15">
      <c r="E75" s="1">
        <f>Demographics!I81</f>
        <v>5.9405940594061679E-3</v>
      </c>
      <c r="F75" t="s">
        <v>628</v>
      </c>
      <c r="M75" s="48">
        <f>'Rev and Major Expenditures'!Y20</f>
        <v>1233.7399536936557</v>
      </c>
      <c r="N75" t="s">
        <v>643</v>
      </c>
    </row>
    <row r="76" spans="4:15">
      <c r="E76" s="1">
        <f>Demographics!G81</f>
        <v>5.2125705224626451E-2</v>
      </c>
      <c r="F76" t="s">
        <v>629</v>
      </c>
      <c r="M76" s="51">
        <f>M74/M75-1</f>
        <v>0.4600805455189394</v>
      </c>
      <c r="N76" t="s">
        <v>683</v>
      </c>
    </row>
    <row r="77" spans="4:15">
      <c r="D77" s="71" t="s">
        <v>668</v>
      </c>
      <c r="K77" t="s">
        <v>664</v>
      </c>
      <c r="M77" s="4">
        <v>189143</v>
      </c>
      <c r="N77" t="s">
        <v>640</v>
      </c>
    </row>
    <row r="78" spans="4:15">
      <c r="D78" s="71" t="s">
        <v>670</v>
      </c>
      <c r="M78" s="4">
        <v>154523</v>
      </c>
      <c r="N78" t="s">
        <v>641</v>
      </c>
      <c r="O78" s="4"/>
    </row>
    <row r="79" spans="4:15">
      <c r="D79" s="71" t="s">
        <v>669</v>
      </c>
      <c r="M79" s="51">
        <f>M77/M78-1</f>
        <v>0.22404431702723859</v>
      </c>
      <c r="N79" t="s">
        <v>683</v>
      </c>
    </row>
    <row r="80" spans="4:15">
      <c r="D80" s="71" t="s">
        <v>671</v>
      </c>
      <c r="K80" t="s">
        <v>665</v>
      </c>
      <c r="M80" s="76">
        <v>241261.44807720106</v>
      </c>
      <c r="N80" t="s">
        <v>640</v>
      </c>
    </row>
    <row r="81" spans="4:14">
      <c r="D81" s="71" t="s">
        <v>672</v>
      </c>
      <c r="M81" s="76">
        <v>184301.55050000001</v>
      </c>
      <c r="N81" t="s">
        <v>641</v>
      </c>
    </row>
    <row r="82" spans="4:14">
      <c r="D82" s="71" t="s">
        <v>673</v>
      </c>
      <c r="M82" s="51">
        <f>M80/M81-1</f>
        <v>0.30905815725734254</v>
      </c>
      <c r="N82" t="s">
        <v>683</v>
      </c>
    </row>
    <row r="83" spans="4:14">
      <c r="K83" t="s">
        <v>684</v>
      </c>
    </row>
    <row r="84" spans="4:14">
      <c r="K84" t="s">
        <v>666</v>
      </c>
    </row>
    <row r="86" spans="4:14">
      <c r="K86" t="s">
        <v>685</v>
      </c>
    </row>
    <row r="87" spans="4:14">
      <c r="K87" t="s">
        <v>681</v>
      </c>
    </row>
    <row r="88" spans="4:14">
      <c r="K88" t="s">
        <v>682</v>
      </c>
    </row>
  </sheetData>
  <pageMargins left="0.7" right="0.7" top="0.75" bottom="0.75" header="0.3" footer="0.3"/>
  <pageSetup scale="69" fitToHeight="2" orientation="landscape" r:id="rId1"/>
  <rowBreaks count="1" manualBreakCount="1">
    <brk id="51" max="16383" man="1"/>
  </rowBreaks>
  <colBreaks count="1" manualBreakCount="1">
    <brk id="19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9">
    <pageSetUpPr fitToPage="1"/>
  </sheetPr>
  <dimension ref="A1:AA88"/>
  <sheetViews>
    <sheetView workbookViewId="0">
      <pane xSplit="3" ySplit="5" topLeftCell="D70" activePane="bottomRight" state="frozen"/>
      <selection pane="topRight" activeCell="D1" sqref="D1"/>
      <selection pane="bottomLeft" activeCell="A5" sqref="A5"/>
      <selection pane="bottomRight" activeCell="D74" sqref="D74"/>
    </sheetView>
  </sheetViews>
  <sheetFormatPr defaultRowHeight="15"/>
  <cols>
    <col min="1" max="1" width="61.85546875" style="15" bestFit="1" customWidth="1"/>
    <col min="2" max="3" width="2" style="15" bestFit="1" customWidth="1"/>
    <col min="4" max="25" width="11.7109375" style="15" customWidth="1"/>
    <col min="26" max="31" width="15.28515625" style="15" customWidth="1"/>
    <col min="32" max="16384" width="9.140625" style="15"/>
  </cols>
  <sheetData>
    <row r="1" spans="1:26">
      <c r="A1" s="21" t="s">
        <v>644</v>
      </c>
      <c r="D1"/>
    </row>
    <row r="2" spans="1:26" ht="18.75">
      <c r="A2" s="41" t="s">
        <v>514</v>
      </c>
      <c r="B2" s="2"/>
      <c r="C2" s="2"/>
      <c r="D2" s="2"/>
      <c r="E2" s="2"/>
      <c r="F2" s="17"/>
      <c r="G2" s="17"/>
      <c r="H2" s="17"/>
      <c r="I2" s="17"/>
      <c r="J2" s="72"/>
      <c r="K2" s="72"/>
    </row>
    <row r="3" spans="1:26">
      <c r="A3" s="42" t="s">
        <v>0</v>
      </c>
      <c r="B3" s="42"/>
      <c r="C3" s="42"/>
      <c r="D3" s="69">
        <f>E3*1.01</f>
        <v>247.05904070392211</v>
      </c>
      <c r="E3" s="69">
        <f>F3</f>
        <v>244.6129115880417</v>
      </c>
      <c r="F3" s="69">
        <f>I3*1.0165</f>
        <v>244.6129115880417</v>
      </c>
      <c r="G3" s="69">
        <f>H3</f>
        <v>240.6423134166667</v>
      </c>
      <c r="H3" s="43">
        <f>I3</f>
        <v>240.6423134166667</v>
      </c>
      <c r="I3" s="69">
        <v>240.6423134166667</v>
      </c>
      <c r="J3" s="43">
        <f>K3</f>
        <v>236.73616666666669</v>
      </c>
      <c r="K3" s="69">
        <v>236.73616666666669</v>
      </c>
      <c r="L3" s="69">
        <v>232.95708333333334</v>
      </c>
      <c r="M3" s="43">
        <v>229.5939166666667</v>
      </c>
      <c r="N3" s="43">
        <v>224.93916666666667</v>
      </c>
      <c r="O3" s="43">
        <v>218.05600000000001</v>
      </c>
      <c r="P3" s="43">
        <v>214.53700000000001</v>
      </c>
      <c r="Q3" s="43">
        <v>215.303</v>
      </c>
      <c r="R3" s="43">
        <v>207.34200000000001</v>
      </c>
      <c r="S3" s="43">
        <v>201.6</v>
      </c>
      <c r="T3" s="43">
        <v>195.3</v>
      </c>
      <c r="U3" s="43">
        <v>188.9</v>
      </c>
      <c r="V3" s="43">
        <v>184</v>
      </c>
      <c r="W3" s="15">
        <v>179.9</v>
      </c>
      <c r="X3" s="15">
        <v>177.1</v>
      </c>
      <c r="Y3" s="15">
        <v>172.2</v>
      </c>
      <c r="Z3" s="15">
        <v>166.6</v>
      </c>
    </row>
    <row r="4" spans="1:26" ht="18.75">
      <c r="A4" s="44" t="s">
        <v>520</v>
      </c>
      <c r="B4" s="44"/>
      <c r="C4" s="44"/>
      <c r="D4" s="45">
        <v>2017</v>
      </c>
      <c r="E4" s="45">
        <v>2016</v>
      </c>
      <c r="F4" s="45">
        <v>2016</v>
      </c>
      <c r="G4" s="45">
        <v>2015</v>
      </c>
      <c r="H4" s="45">
        <v>2015</v>
      </c>
      <c r="I4" s="45">
        <v>2015</v>
      </c>
      <c r="J4" s="45">
        <v>2014</v>
      </c>
      <c r="K4" s="45">
        <v>2014</v>
      </c>
      <c r="L4" s="45">
        <v>2013</v>
      </c>
      <c r="M4" s="45">
        <v>2012</v>
      </c>
      <c r="N4" s="45">
        <v>2011</v>
      </c>
      <c r="O4" s="45">
        <v>2010</v>
      </c>
      <c r="P4" s="45">
        <v>2009</v>
      </c>
      <c r="Q4" s="45">
        <v>2008</v>
      </c>
      <c r="R4" s="45">
        <v>2007</v>
      </c>
      <c r="S4" s="45">
        <v>2006</v>
      </c>
      <c r="T4" s="45">
        <v>2005</v>
      </c>
      <c r="U4" s="45">
        <v>2004</v>
      </c>
      <c r="V4" s="45">
        <v>2003</v>
      </c>
      <c r="W4" s="45">
        <v>2002</v>
      </c>
      <c r="X4" s="45">
        <v>2001</v>
      </c>
      <c r="Y4" s="45">
        <v>2000</v>
      </c>
      <c r="Z4" s="45">
        <v>1999</v>
      </c>
    </row>
    <row r="5" spans="1:26" ht="18.75">
      <c r="A5" s="41" t="s">
        <v>519</v>
      </c>
      <c r="B5" s="41"/>
      <c r="C5" s="41"/>
      <c r="D5" s="15" t="str">
        <f>'GenFund Statement'!D4</f>
        <v>Advertised</v>
      </c>
      <c r="E5" s="15" t="str">
        <f>'GenFund Statement'!E4</f>
        <v>Adopted</v>
      </c>
      <c r="F5" s="15" t="str">
        <f>'GenFund Statement'!F4</f>
        <v>Advertised</v>
      </c>
      <c r="G5" s="15" t="str">
        <f>'GenFund Statement'!G4</f>
        <v>Actual</v>
      </c>
      <c r="H5" s="15" t="str">
        <f>'GenFund Statement'!H4</f>
        <v>Revised</v>
      </c>
      <c r="I5" s="15" t="str">
        <f>'GenFund Statement'!I4</f>
        <v>Adopted</v>
      </c>
      <c r="J5" s="15" t="str">
        <f>'GenFund Statement'!J4</f>
        <v>Actual</v>
      </c>
      <c r="K5" s="15" t="str">
        <f>'GenFund Statement'!K4</f>
        <v>Revised</v>
      </c>
      <c r="L5" s="15" t="s">
        <v>1</v>
      </c>
      <c r="M5" s="15" t="s">
        <v>1</v>
      </c>
      <c r="N5" s="15" t="s">
        <v>1</v>
      </c>
      <c r="O5" s="15" t="s">
        <v>1</v>
      </c>
      <c r="P5" s="15" t="s">
        <v>1</v>
      </c>
      <c r="Q5" s="15" t="s">
        <v>1</v>
      </c>
      <c r="R5" s="15" t="s">
        <v>1</v>
      </c>
      <c r="S5" s="15" t="s">
        <v>1</v>
      </c>
      <c r="T5" s="15" t="s">
        <v>1</v>
      </c>
      <c r="U5" s="15" t="s">
        <v>1</v>
      </c>
      <c r="V5" s="15" t="s">
        <v>1</v>
      </c>
      <c r="W5" s="15" t="s">
        <v>1</v>
      </c>
      <c r="X5" s="15" t="s">
        <v>1</v>
      </c>
      <c r="Y5" s="15" t="s">
        <v>1</v>
      </c>
      <c r="Z5" s="15" t="s">
        <v>1</v>
      </c>
    </row>
    <row r="6" spans="1:26">
      <c r="A6" s="77" t="s">
        <v>2</v>
      </c>
      <c r="B6" s="77"/>
      <c r="C6" s="77"/>
      <c r="D6" s="79">
        <f>'GenFund Statement'!D9*$K$3/D$3/1000000</f>
        <v>2491.7153037041512</v>
      </c>
      <c r="E6" s="79">
        <f>'GenFund Statement'!E9*$K$3/E$3/1000000</f>
        <v>2355.8319881328466</v>
      </c>
      <c r="F6" s="79">
        <f>'GenFund Statement'!F9*$K$3/F$3/1000000</f>
        <v>2355.8319881328466</v>
      </c>
      <c r="G6" s="79">
        <f>'GenFund Statement'!G9*$K$3/G$3/1000000</f>
        <v>2318.856399409739</v>
      </c>
      <c r="H6" s="79">
        <f>'GenFund Statement'!H9*$K$3/H$3/1000000</f>
        <v>2315.4319468765375</v>
      </c>
      <c r="I6" s="79">
        <f>'GenFund Statement'!I9*$K$3/I$3/1000000</f>
        <v>2315.4319468765375</v>
      </c>
      <c r="J6" s="37">
        <f>'GenFund Statement'!J9*$K$3/J$3/1000000</f>
        <v>2216.1593090000001</v>
      </c>
      <c r="K6" s="37">
        <f>'GenFund Statement'!K9*$K$3/K$3/1000000</f>
        <v>2216.599964</v>
      </c>
      <c r="L6" s="37">
        <f>'GenFund Statement'!L9*$K$3/L$3/1000000</f>
        <v>2157.8530913912259</v>
      </c>
      <c r="M6" s="37">
        <f>'GenFund Statement'!M9*$K$3/M$3/1000000</f>
        <v>2110.9711004187384</v>
      </c>
      <c r="N6" s="37">
        <f>'GenFund Statement'!N9*$K$3/N$3/1000000</f>
        <v>2125.7678387781771</v>
      </c>
      <c r="O6" s="37">
        <f>'GenFund Statement'!O9*$K$3/O$3/1000000</f>
        <v>2297.2396141806785</v>
      </c>
      <c r="P6" s="37">
        <f>'GenFund Statement'!P9*$K$3/P$3/1000000</f>
        <v>2259.747351042754</v>
      </c>
      <c r="Q6" s="37">
        <f>'GenFund Statement'!Q9*$K$3/Q$3/1000000</f>
        <v>2171.7344143283794</v>
      </c>
      <c r="R6" s="37">
        <f>'GenFund Statement'!R9*$K$3/R$3/1000000</f>
        <v>2164.801091397695</v>
      </c>
      <c r="S6" s="37">
        <f>'GenFund Statement'!S9*$K$3/S$3/1000000</f>
        <v>2094.7446791906632</v>
      </c>
      <c r="T6" s="37">
        <f>'GenFund Statement'!T9*$K$3/T$3/1000000</f>
        <v>1985.4130384534392</v>
      </c>
      <c r="U6" s="37">
        <f>'GenFund Statement'!U9*$K$3/U$3/1000000</f>
        <v>1880.7688572869149</v>
      </c>
      <c r="V6" s="37">
        <f>'GenFund Statement'!V9*$K$3/V$3/1000000</f>
        <v>1796.7935771048101</v>
      </c>
      <c r="W6" s="37">
        <f>'GenFund Statement'!W9*$K$3/W$3/1000000</f>
        <v>1622.812440722508</v>
      </c>
      <c r="X6" s="37">
        <f>'GenFund Statement'!X9*$K$3/X$3/1000000</f>
        <v>1451.6906697100746</v>
      </c>
      <c r="Y6" s="37">
        <f>'GenFund Statement'!Y9*$K$3/Y$3/1000000</f>
        <v>1375.8781779851647</v>
      </c>
      <c r="Z6" s="37">
        <f>'GenFund Statement'!Z9*$K$3/Z$3/1000000</f>
        <v>1340.5213089875772</v>
      </c>
    </row>
    <row r="7" spans="1:26">
      <c r="A7" s="80" t="s">
        <v>517</v>
      </c>
      <c r="B7" s="80"/>
      <c r="C7" s="80"/>
      <c r="D7" s="79">
        <f>'GenFund Statement'!D10*$K$3/D$3/1000000</f>
        <v>367.25982637074873</v>
      </c>
      <c r="E7" s="79">
        <f>'GenFund Statement'!E10*$K$3/E$3/1000000</f>
        <v>357.49476771489799</v>
      </c>
      <c r="F7" s="79">
        <f>'GenFund Statement'!F10*$K$3/F$3/1000000</f>
        <v>357.49476771489799</v>
      </c>
      <c r="G7" s="79">
        <f>'GenFund Statement'!G10*$K$3/G$3/1000000</f>
        <v>364.28157501229703</v>
      </c>
      <c r="H7" s="79">
        <f>'GenFund Statement'!H10*$K$3/H$3/1000000</f>
        <v>356.74037481554353</v>
      </c>
      <c r="I7" s="79">
        <f>'GenFund Statement'!I10*$K$3/I$3/1000000</f>
        <v>357.10033939990154</v>
      </c>
      <c r="J7" s="37">
        <f>'GenFund Statement'!J10*$K$3/J$3/1000000</f>
        <v>360.13162999999997</v>
      </c>
      <c r="K7" s="37">
        <f>'GenFund Statement'!K10*$K$3/K$3/1000000</f>
        <v>354.30829199999999</v>
      </c>
      <c r="L7" s="37">
        <f>'GenFund Statement'!L10*$K$3/L$3/1000000</f>
        <v>359.3699881292556</v>
      </c>
      <c r="M7" s="37">
        <f>'GenFund Statement'!M10*$K$3/M$3/1000000</f>
        <v>326.77699222322383</v>
      </c>
      <c r="N7" s="37">
        <f>'GenFund Statement'!N10*$K$3/N$3/1000000</f>
        <v>317.80948925757855</v>
      </c>
      <c r="O7" s="37">
        <f>'GenFund Statement'!O10*$K$3/O$3/1000000</f>
        <v>321.54370651451461</v>
      </c>
      <c r="P7" s="37">
        <f>'GenFund Statement'!P10*$K$3/P$3/1000000</f>
        <v>349.154243419404</v>
      </c>
      <c r="Q7" s="37">
        <f>'GenFund Statement'!Q10*$K$3/Q$3/1000000</f>
        <v>338.51420852794433</v>
      </c>
      <c r="R7" s="37">
        <f>'GenFund Statement'!R10*$K$3/R$3/1000000</f>
        <v>353.95468515213997</v>
      </c>
      <c r="S7" s="37">
        <f>'GenFund Statement'!S10*$K$3/S$3/1000000</f>
        <v>340.20667084325572</v>
      </c>
      <c r="T7" s="37">
        <f>'GenFund Statement'!T10*$K$3/T$3/1000000</f>
        <v>339.28105068985064</v>
      </c>
      <c r="U7" s="37">
        <f>'GenFund Statement'!U10*$K$3/U$3/1000000</f>
        <v>344.27535122250049</v>
      </c>
      <c r="V7" s="37">
        <f>'GenFund Statement'!V10*$K$3/V$3/1000000</f>
        <v>348.74987688327263</v>
      </c>
      <c r="W7" s="37">
        <f>'GenFund Statement'!W10*$K$3/W$3/1000000</f>
        <v>372.26400063847143</v>
      </c>
      <c r="X7" s="37">
        <f>'GenFund Statement'!X10*$K$3/X$3/1000000</f>
        <v>424.39756093352634</v>
      </c>
      <c r="Y7" s="37">
        <f>'GenFund Statement'!Y10*$K$3/Y$3/1000000</f>
        <v>461.82122266383578</v>
      </c>
      <c r="Z7" s="37">
        <f>'GenFund Statement'!Z10*$K$3/Z$3/1000000</f>
        <v>522.80117627035213</v>
      </c>
    </row>
    <row r="8" spans="1:26">
      <c r="A8" s="77" t="s">
        <v>3</v>
      </c>
      <c r="B8" s="77"/>
      <c r="C8" s="77"/>
      <c r="D8" s="79">
        <f>'GenFund Statement'!D11*$K$3/D$3/1000000</f>
        <v>489.62660054784288</v>
      </c>
      <c r="E8" s="79">
        <f>'GenFund Statement'!E11*$K$3/E$3/1000000</f>
        <v>479.19348651819496</v>
      </c>
      <c r="F8" s="79">
        <f>'GenFund Statement'!F11*$K$3/F$3/1000000</f>
        <v>479.19348651819496</v>
      </c>
      <c r="G8" s="79">
        <f>'GenFund Statement'!G11*$K$3/G$3/1000000</f>
        <v>498.34459222823415</v>
      </c>
      <c r="H8" s="79">
        <f>'GenFund Statement'!H11*$K$3/H$3/1000000</f>
        <v>480.42886866699456</v>
      </c>
      <c r="I8" s="79">
        <f>'GenFund Statement'!I11*$K$3/I$3/1000000</f>
        <v>489.00666404328581</v>
      </c>
      <c r="J8" s="37">
        <f>'GenFund Statement'!J11*$K$3/J$3/1000000</f>
        <v>514.82217800000001</v>
      </c>
      <c r="K8" s="37">
        <f>'GenFund Statement'!K11*$K$3/K$3/1000000</f>
        <v>521.96997699999997</v>
      </c>
      <c r="L8" s="37">
        <f>'GenFund Statement'!L11*$K$3/L$3/1000000</f>
        <v>539.57377583684979</v>
      </c>
      <c r="M8" s="37">
        <f>'GenFund Statement'!M11*$K$3/M$3/1000000</f>
        <v>533.47036015659523</v>
      </c>
      <c r="N8" s="37">
        <f>'GenFund Statement'!N11*$K$3/N$3/1000000</f>
        <v>532.02922179878863</v>
      </c>
      <c r="O8" s="37">
        <f>'GenFund Statement'!O11*$K$3/O$3/1000000</f>
        <v>499.56745278589983</v>
      </c>
      <c r="P8" s="37">
        <f>'GenFund Statement'!P11*$K$3/P$3/1000000</f>
        <v>508.05822192881499</v>
      </c>
      <c r="Q8" s="37">
        <f>'GenFund Statement'!Q11*$K$3/Q$3/1000000</f>
        <v>521.21918780129795</v>
      </c>
      <c r="R8" s="37">
        <f>'GenFund Statement'!R11*$K$3/R$3/1000000</f>
        <v>548.56402648750225</v>
      </c>
      <c r="S8" s="37">
        <f>'GenFund Statement'!S11*$K$3/S$3/1000000</f>
        <v>584.91852711067054</v>
      </c>
      <c r="T8" s="37">
        <f>'GenFund Statement'!T11*$K$3/T$3/1000000</f>
        <v>561.44339468115982</v>
      </c>
      <c r="U8" s="37">
        <f>'GenFund Statement'!U11*$K$3/U$3/1000000</f>
        <v>511.61065134716694</v>
      </c>
      <c r="V8" s="37">
        <f>'GenFund Statement'!V11*$K$3/V$3/1000000</f>
        <v>480.6700147133306</v>
      </c>
      <c r="W8" s="37">
        <f>'GenFund Statement'!W11*$K$3/W$3/1000000</f>
        <v>474.08112558601454</v>
      </c>
      <c r="X8" s="37">
        <f>'GenFund Statement'!X11*$K$3/X$3/1000000</f>
        <v>481.71367136748358</v>
      </c>
      <c r="Y8" s="37">
        <f>'GenFund Statement'!Y11*$K$3/Y$3/1000000</f>
        <v>471.81817717504839</v>
      </c>
      <c r="Z8" s="37">
        <f>'GenFund Statement'!Z11*$K$3/Z$3/1000000</f>
        <v>451.72068325040328</v>
      </c>
    </row>
    <row r="9" spans="1:26">
      <c r="A9" s="77" t="s">
        <v>4</v>
      </c>
      <c r="B9" s="77"/>
      <c r="C9" s="77"/>
      <c r="D9" s="79">
        <f>'GenFund Statement'!D12*$K$3/D$3/1000000</f>
        <v>45.404308381637193</v>
      </c>
      <c r="E9" s="79">
        <f>'GenFund Statement'!E12*$K$3/E$3/1000000</f>
        <v>44.105334291131882</v>
      </c>
      <c r="F9" s="79">
        <f>'GenFund Statement'!F12*$K$3/F$3/1000000</f>
        <v>44.105334291131882</v>
      </c>
      <c r="G9" s="79">
        <f>'GenFund Statement'!G12*$K$3/G$3/1000000</f>
        <v>44.806679783571077</v>
      </c>
      <c r="H9" s="79">
        <f>'GenFund Statement'!H12*$K$3/H$3/1000000</f>
        <v>39.156092474176091</v>
      </c>
      <c r="I9" s="79">
        <f>'GenFund Statement'!I12*$K$3/I$3/1000000</f>
        <v>38.798224299065417</v>
      </c>
      <c r="J9" s="37">
        <f>'GenFund Statement'!J12*$K$3/J$3/1000000</f>
        <v>39.351756000000002</v>
      </c>
      <c r="K9" s="37">
        <f>'GenFund Statement'!K12*$K$3/K$3/1000000</f>
        <v>38.688569000000001</v>
      </c>
      <c r="L9" s="37">
        <f>'GenFund Statement'!L12*$K$3/L$3/1000000</f>
        <v>38.821063109824593</v>
      </c>
      <c r="M9" s="37">
        <f>'GenFund Statement'!M12*$K$3/M$3/1000000</f>
        <v>37.990038602913039</v>
      </c>
      <c r="N9" s="37">
        <f>'GenFund Statement'!N12*$K$3/N$3/1000000</f>
        <v>36.064331166310154</v>
      </c>
      <c r="O9" s="37">
        <f>'GenFund Statement'!O12*$K$3/O$3/1000000</f>
        <v>31.121374728899156</v>
      </c>
      <c r="P9" s="37">
        <f>'GenFund Statement'!P12*$K$3/P$3/1000000</f>
        <v>27.028565079242743</v>
      </c>
      <c r="Q9" s="37">
        <f>'GenFund Statement'!Q12*$K$3/Q$3/1000000</f>
        <v>29.379048116474618</v>
      </c>
      <c r="R9" s="37">
        <f>'GenFund Statement'!R12*$K$3/R$3/1000000</f>
        <v>35.141843337264845</v>
      </c>
      <c r="S9" s="37">
        <f>'GenFund Statement'!S12*$K$3/S$3/1000000</f>
        <v>37.133271385371202</v>
      </c>
      <c r="T9" s="37">
        <f>'GenFund Statement'!T12*$K$3/T$3/1000000</f>
        <v>33.894090336540366</v>
      </c>
      <c r="U9" s="37">
        <f>'GenFund Statement'!U12*$K$3/U$3/1000000</f>
        <v>35.936988732389274</v>
      </c>
      <c r="V9" s="37">
        <f>'GenFund Statement'!V12*$K$3/V$3/1000000</f>
        <v>35.69461989037228</v>
      </c>
      <c r="W9" s="37">
        <f>'GenFund Statement'!W12*$K$3/W$3/1000000</f>
        <v>37.647739382352235</v>
      </c>
      <c r="X9" s="37">
        <f>'GenFund Statement'!X12*$K$3/X$3/1000000</f>
        <v>42.652622811345758</v>
      </c>
      <c r="Y9" s="37">
        <f>'GenFund Statement'!Y12*$K$3/Y$3/1000000</f>
        <v>46.266913545032914</v>
      </c>
      <c r="Z9" s="37">
        <f>'GenFund Statement'!Z12*$K$3/Z$3/1000000</f>
        <v>46.713269225642264</v>
      </c>
    </row>
    <row r="10" spans="1:26">
      <c r="A10" s="77" t="s">
        <v>5</v>
      </c>
      <c r="B10" s="77"/>
      <c r="C10" s="77"/>
      <c r="D10" s="79">
        <f>'GenFund Statement'!D13*$K$3/D$3/1000000</f>
        <v>11.923102445738875</v>
      </c>
      <c r="E10" s="79">
        <f>'GenFund Statement'!E13*$K$3/E$3/1000000</f>
        <v>12.918266216865884</v>
      </c>
      <c r="F10" s="79">
        <f>'GenFund Statement'!F13*$K$3/F$3/1000000</f>
        <v>12.918266216865884</v>
      </c>
      <c r="G10" s="79">
        <f>'GenFund Statement'!G13*$K$3/G$3/1000000</f>
        <v>12.902863748155436</v>
      </c>
      <c r="H10" s="79">
        <f>'GenFund Statement'!H13*$K$3/H$3/1000000</f>
        <v>13.131417609444171</v>
      </c>
      <c r="I10" s="79">
        <f>'GenFund Statement'!I13*$K$3/I$3/1000000</f>
        <v>14.004004918839154</v>
      </c>
      <c r="J10" s="37">
        <f>'GenFund Statement'!J13*$K$3/J$3/1000000</f>
        <v>14.073582999999999</v>
      </c>
      <c r="K10" s="37">
        <f>'GenFund Statement'!K13*$K$3/K$3/1000000</f>
        <v>14.217784</v>
      </c>
      <c r="L10" s="37">
        <f>'GenFund Statement'!L13*$K$3/L$3/1000000</f>
        <v>14.360767813163728</v>
      </c>
      <c r="M10" s="37">
        <f>'GenFund Statement'!M13*$K$3/M$3/1000000</f>
        <v>14.522629825107154</v>
      </c>
      <c r="N10" s="37">
        <f>'GenFund Statement'!N13*$K$3/N$3/1000000</f>
        <v>17.431909200017042</v>
      </c>
      <c r="O10" s="37">
        <f>'GenFund Statement'!O13*$K$3/O$3/1000000</f>
        <v>16.22273948362653</v>
      </c>
      <c r="P10" s="37">
        <f>'GenFund Statement'!P13*$K$3/P$3/1000000</f>
        <v>18.14562408046864</v>
      </c>
      <c r="Q10" s="37">
        <f>'GenFund Statement'!Q13*$K$3/Q$3/1000000</f>
        <v>16.353786907786549</v>
      </c>
      <c r="R10" s="37">
        <f>'GenFund Statement'!R13*$K$3/R$3/1000000</f>
        <v>16.937658531250303</v>
      </c>
      <c r="S10" s="37">
        <f>'GenFund Statement'!S13*$K$3/S$3/1000000</f>
        <v>17.704855570262072</v>
      </c>
      <c r="T10" s="37">
        <f>'GenFund Statement'!T13*$K$3/T$3/1000000</f>
        <v>18.816862082075438</v>
      </c>
      <c r="U10" s="37">
        <f>'GenFund Statement'!U13*$K$3/U$3/1000000</f>
        <v>16.633946549189169</v>
      </c>
      <c r="V10" s="37">
        <f>'GenFund Statement'!V13*$K$3/V$3/1000000</f>
        <v>14.213160827894928</v>
      </c>
      <c r="W10" s="37">
        <f>'GenFund Statement'!W13*$K$3/W$3/1000000</f>
        <v>13.578711468548269</v>
      </c>
      <c r="X10" s="37">
        <f>'GenFund Statement'!X13*$K$3/X$3/1000000</f>
        <v>12.186409236082252</v>
      </c>
      <c r="Y10" s="37">
        <f>'GenFund Statement'!Y13*$K$3/Y$3/1000000</f>
        <v>10.420613265783006</v>
      </c>
      <c r="Z10" s="37">
        <f>'GenFund Statement'!Z13*$K$3/Z$3/1000000</f>
        <v>10.14531421264606</v>
      </c>
    </row>
    <row r="11" spans="1:26">
      <c r="A11" s="77" t="s">
        <v>6</v>
      </c>
      <c r="B11" s="77"/>
      <c r="C11" s="77"/>
      <c r="D11" s="79">
        <f>'GenFund Statement'!D14*$K$3/D$3/1000000</f>
        <v>21.639370830038853</v>
      </c>
      <c r="E11" s="79">
        <f>'GenFund Statement'!E14*$K$3/E$3/1000000</f>
        <v>20.327434516895231</v>
      </c>
      <c r="F11" s="79">
        <f>'GenFund Statement'!F14*$K$3/F$3/1000000</f>
        <v>20.327434516895231</v>
      </c>
      <c r="G11" s="79">
        <f>'GenFund Statement'!G14*$K$3/G$3/1000000</f>
        <v>14.873082144613871</v>
      </c>
      <c r="H11" s="79">
        <f>'GenFund Statement'!H14*$K$3/H$3/1000000</f>
        <v>14.990687653713724</v>
      </c>
      <c r="I11" s="79">
        <f>'GenFund Statement'!I14*$K$3/I$3/1000000</f>
        <v>13.991084112149531</v>
      </c>
      <c r="J11" s="37">
        <f>'GenFund Statement'!J14*$K$3/J$3/1000000</f>
        <v>15.234795999999999</v>
      </c>
      <c r="K11" s="37">
        <f>'GenFund Statement'!K14*$K$3/K$3/1000000</f>
        <v>14.963799</v>
      </c>
      <c r="L11" s="37">
        <f>'GenFund Statement'!L14*$K$3/L$3/1000000</f>
        <v>17.795150795796793</v>
      </c>
      <c r="M11" s="37">
        <f>'GenFund Statement'!M14*$K$3/M$3/1000000</f>
        <v>18.9750591092142</v>
      </c>
      <c r="N11" s="37">
        <f>'GenFund Statement'!N14*$K$3/N$3/1000000</f>
        <v>19.79450469277694</v>
      </c>
      <c r="O11" s="37">
        <f>'GenFund Statement'!O14*$K$3/O$3/1000000</f>
        <v>23.685638255494769</v>
      </c>
      <c r="P11" s="37">
        <f>'GenFund Statement'!P14*$K$3/P$3/1000000</f>
        <v>44.154318052464923</v>
      </c>
      <c r="Q11" s="37">
        <f>'GenFund Statement'!Q14*$K$3/Q$3/1000000</f>
        <v>89.699201934002332</v>
      </c>
      <c r="R11" s="37">
        <f>'GenFund Statement'!R14*$K$3/R$3/1000000</f>
        <v>109.17417462885957</v>
      </c>
      <c r="S11" s="37">
        <f>'GenFund Statement'!S14*$K$3/S$3/1000000</f>
        <v>85.988974420695286</v>
      </c>
      <c r="T11" s="37">
        <f>'GenFund Statement'!T14*$K$3/T$3/1000000</f>
        <v>36.605668571440518</v>
      </c>
      <c r="U11" s="37">
        <f>'GenFund Statement'!U14*$K$3/U$3/1000000</f>
        <v>22.455010669264158</v>
      </c>
      <c r="V11" s="37">
        <f>'GenFund Statement'!V14*$K$3/V$3/1000000</f>
        <v>26.687226896826093</v>
      </c>
      <c r="W11" s="37">
        <f>'GenFund Statement'!W14*$K$3/W$3/1000000</f>
        <v>37.153460848178618</v>
      </c>
      <c r="X11" s="37">
        <f>'GenFund Statement'!X14*$K$3/X$3/1000000</f>
        <v>78.786911105531729</v>
      </c>
      <c r="Y11" s="37">
        <f>'GenFund Statement'!Y14*$K$3/Y$3/1000000</f>
        <v>68.162264911823485</v>
      </c>
      <c r="Z11" s="37">
        <f>'GenFund Statement'!Z14*$K$3/Z$3/1000000</f>
        <v>68.218752061844754</v>
      </c>
    </row>
    <row r="12" spans="1:26">
      <c r="A12" s="77" t="s">
        <v>7</v>
      </c>
      <c r="B12" s="77"/>
      <c r="C12" s="77"/>
      <c r="D12" s="79">
        <f>'GenFund Statement'!D15*$K$3/D$3/1000000</f>
        <v>72.85439414672777</v>
      </c>
      <c r="E12" s="79">
        <f>'GenFund Statement'!E15*$K$3/E$3/1000000</f>
        <v>72.213480038779707</v>
      </c>
      <c r="F12" s="79">
        <f>'GenFund Statement'!F15*$K$3/F$3/1000000</f>
        <v>72.148826216904595</v>
      </c>
      <c r="G12" s="79">
        <f>'GenFund Statement'!G15*$K$3/G$3/1000000</f>
        <v>71.727940973930146</v>
      </c>
      <c r="H12" s="79">
        <f>'GenFund Statement'!H15*$K$3/H$3/1000000</f>
        <v>72.230672897196257</v>
      </c>
      <c r="I12" s="79">
        <f>'GenFund Statement'!I15*$K$3/I$3/1000000</f>
        <v>76.123436301032967</v>
      </c>
      <c r="J12" s="37">
        <f>'GenFund Statement'!J15*$K$3/J$3/1000000</f>
        <v>71.318911</v>
      </c>
      <c r="K12" s="37">
        <f>'GenFund Statement'!K15*$K$3/K$3/1000000</f>
        <v>74.509000999999998</v>
      </c>
      <c r="L12" s="37">
        <f>'GenFund Statement'!L15*$K$3/L$3/1000000</f>
        <v>73.853008510824424</v>
      </c>
      <c r="M12" s="37">
        <f>'GenFund Statement'!M15*$K$3/M$3/1000000</f>
        <v>71.793653211246522</v>
      </c>
      <c r="N12" s="37">
        <f>'GenFund Statement'!N15*$K$3/N$3/1000000</f>
        <v>67.458355316568571</v>
      </c>
      <c r="O12" s="37">
        <f>'GenFund Statement'!O15*$K$3/O$3/1000000</f>
        <v>68.376162340827605</v>
      </c>
      <c r="P12" s="37">
        <f>'GenFund Statement'!P15*$K$3/P$3/1000000</f>
        <v>68.263238963655851</v>
      </c>
      <c r="Q12" s="37">
        <f>'GenFund Statement'!Q15*$K$3/Q$3/1000000</f>
        <v>63.735380043222811</v>
      </c>
      <c r="R12" s="37">
        <f>'GenFund Statement'!R15*$K$3/R$3/1000000</f>
        <v>66.323643974788041</v>
      </c>
      <c r="S12" s="37">
        <f>'GenFund Statement'!S15*$K$3/S$3/1000000</f>
        <v>67.566094299216289</v>
      </c>
      <c r="T12" s="37">
        <f>'GenFund Statement'!T15*$K$3/T$3/1000000</f>
        <v>57.623585466140987</v>
      </c>
      <c r="U12" s="37">
        <f>'GenFund Statement'!U15*$K$3/U$3/1000000</f>
        <v>53.299780645180881</v>
      </c>
      <c r="V12" s="37">
        <f>'GenFund Statement'!V15*$K$3/V$3/1000000</f>
        <v>52.17092314738769</v>
      </c>
      <c r="W12" s="37">
        <f>'GenFund Statement'!W15*$K$3/W$3/1000000</f>
        <v>46.375955768068373</v>
      </c>
      <c r="X12" s="37">
        <f>'GenFund Statement'!X15*$K$3/X$3/1000000</f>
        <v>43.780731467057223</v>
      </c>
      <c r="Y12" s="37">
        <f>'GenFund Statement'!Y15*$K$3/Y$3/1000000</f>
        <v>40.655650496062727</v>
      </c>
      <c r="Z12" s="37">
        <f>'GenFund Statement'!Z15*$K$3/Z$3/1000000</f>
        <v>43.755566281899767</v>
      </c>
    </row>
    <row r="13" spans="1:26">
      <c r="A13" s="77" t="s">
        <v>518</v>
      </c>
      <c r="B13" s="77"/>
      <c r="C13" s="77"/>
      <c r="D13" s="79">
        <f>'GenFund Statement'!D16*$K$3/D$3/1000000</f>
        <v>295.75397409291281</v>
      </c>
      <c r="E13" s="79">
        <f>'GenFund Statement'!E16*$K$3/E$3/1000000</f>
        <v>299.63055235442545</v>
      </c>
      <c r="F13" s="79">
        <f>'GenFund Statement'!F16*$K$3/F$3/1000000</f>
        <v>296.98592602288511</v>
      </c>
      <c r="G13" s="79">
        <f>'GenFund Statement'!G16*$K$3/G$3/1000000</f>
        <v>295.83641908509594</v>
      </c>
      <c r="H13" s="79">
        <f>'GenFund Statement'!H16*$K$3/H$3/1000000</f>
        <v>301.61687358583373</v>
      </c>
      <c r="I13" s="79">
        <f>'GenFund Statement'!I16*$K$3/I$3/1000000</f>
        <v>301.80596950319722</v>
      </c>
      <c r="J13" s="37">
        <f>'GenFund Statement'!J16*$K$3/J$3/1000000</f>
        <v>303.66506800000002</v>
      </c>
      <c r="K13" s="37">
        <f>'GenFund Statement'!K16*$K$3/K$3/1000000</f>
        <v>307.46370300000001</v>
      </c>
      <c r="L13" s="37">
        <f>'GenFund Statement'!L16*$K$3/L$3/1000000</f>
        <v>306.0108538651719</v>
      </c>
      <c r="M13" s="37">
        <f>'GenFund Statement'!M16*$K$3/M$3/1000000</f>
        <v>314.171599801485</v>
      </c>
      <c r="N13" s="37">
        <f>'GenFund Statement'!N16*$K$3/N$3/1000000</f>
        <v>325.23425714106264</v>
      </c>
      <c r="O13" s="37">
        <f>'GenFund Statement'!O16*$K$3/O$3/1000000</f>
        <v>321.02550145071223</v>
      </c>
      <c r="P13" s="37">
        <f>'GenFund Statement'!P16*$K$3/P$3/1000000</f>
        <v>349.94020325539418</v>
      </c>
      <c r="Q13" s="37">
        <f>'GenFund Statement'!Q16*$K$3/Q$3/1000000</f>
        <v>343.53576567277827</v>
      </c>
      <c r="R13" s="37">
        <f>'GenFund Statement'!R16*$K$3/R$3/1000000</f>
        <v>346.27897547952415</v>
      </c>
      <c r="S13" s="37">
        <f>'GenFund Statement'!S16*$K$3/S$3/1000000</f>
        <v>349.63115407826729</v>
      </c>
      <c r="T13" s="37">
        <f>'GenFund Statement'!T16*$K$3/T$3/1000000</f>
        <v>336.91421389138765</v>
      </c>
      <c r="U13" s="37">
        <f>'GenFund Statement'!U16*$K$3/U$3/1000000</f>
        <v>354.3169512309679</v>
      </c>
      <c r="V13" s="37">
        <f>'GenFund Statement'!V16*$K$3/V$3/1000000</f>
        <v>353.96087993208977</v>
      </c>
      <c r="W13" s="37">
        <f>'GenFund Statement'!W16*$K$3/W$3/1000000</f>
        <v>365.80044927026779</v>
      </c>
      <c r="X13" s="37">
        <f>'GenFund Statement'!X16*$K$3/X$3/1000000</f>
        <v>270.67441889708363</v>
      </c>
      <c r="Y13" s="37">
        <f>'GenFund Statement'!Y16*$K$3/Y$3/1000000</f>
        <v>201.75030061993809</v>
      </c>
      <c r="Z13" s="37">
        <f>'GenFund Statement'!Z16*$K$3/Z$3/1000000</f>
        <v>102.66233106860446</v>
      </c>
    </row>
    <row r="14" spans="1:26">
      <c r="A14" s="77" t="s">
        <v>8</v>
      </c>
      <c r="B14" s="77"/>
      <c r="C14" s="77"/>
      <c r="D14" s="79">
        <f>'GenFund Statement'!D17*$K$3/D$3/1000000</f>
        <v>28.726867722930475</v>
      </c>
      <c r="E14" s="79">
        <f>'GenFund Statement'!E17*$K$3/E$3/1000000</f>
        <v>28.346748884430024</v>
      </c>
      <c r="F14" s="79">
        <f>'GenFund Statement'!F17*$K$3/F$3/1000000</f>
        <v>28.029363026056298</v>
      </c>
      <c r="G14" s="79">
        <f>'GenFund Statement'!G17*$K$3/G$3/1000000</f>
        <v>35.76111854402361</v>
      </c>
      <c r="H14" s="79">
        <f>'GenFund Statement'!H17*$K$3/H$3/1000000</f>
        <v>28.126216428922778</v>
      </c>
      <c r="I14" s="79">
        <f>'GenFund Statement'!I17*$K$3/I$3/1000000</f>
        <v>27.027791441219868</v>
      </c>
      <c r="J14" s="37">
        <f>'GenFund Statement'!J17*$K$3/J$3/1000000</f>
        <v>33.497926999999997</v>
      </c>
      <c r="K14" s="37">
        <f>'GenFund Statement'!K17*$K$3/K$3/1000000</f>
        <v>26.576619999999998</v>
      </c>
      <c r="L14" s="37">
        <f>'GenFund Statement'!L17*$K$3/L$3/1000000</f>
        <v>31.658172960817176</v>
      </c>
      <c r="M14" s="37">
        <f>'GenFund Statement'!M17*$K$3/M$3/1000000</f>
        <v>41.466986957634987</v>
      </c>
      <c r="N14" s="37">
        <f>'GenFund Statement'!N17*$K$3/N$3/1000000</f>
        <v>40.434015604617549</v>
      </c>
      <c r="O14" s="37">
        <f>'GenFund Statement'!O17*$K$3/O$3/1000000</f>
        <v>52.414347680879374</v>
      </c>
      <c r="P14" s="37">
        <f>'GenFund Statement'!P17*$K$3/P$3/1000000</f>
        <v>42.592114475831671</v>
      </c>
      <c r="Q14" s="37">
        <f>'GenFund Statement'!Q17*$K$3/Q$3/1000000</f>
        <v>39.231273028444413</v>
      </c>
      <c r="R14" s="37">
        <f>'GenFund Statement'!R17*$K$3/R$3/1000000</f>
        <v>45.764232197341428</v>
      </c>
      <c r="S14" s="37">
        <f>'GenFund Statement'!S17*$K$3/S$3/1000000</f>
        <v>56.386435502814159</v>
      </c>
      <c r="T14" s="37">
        <f>'GenFund Statement'!T17*$K$3/T$3/1000000</f>
        <v>55.778495541909884</v>
      </c>
      <c r="U14" s="37">
        <f>'GenFund Statement'!U17*$K$3/U$3/1000000</f>
        <v>70.97596788069437</v>
      </c>
      <c r="V14" s="37">
        <f>'GenFund Statement'!V17*$K$3/V$3/1000000</f>
        <v>60.467448896817942</v>
      </c>
      <c r="W14" s="37">
        <f>'GenFund Statement'!W17*$K$3/W$3/1000000</f>
        <v>49.577514363637199</v>
      </c>
      <c r="X14" s="37">
        <f>'GenFund Statement'!X17*$K$3/X$3/1000000</f>
        <v>49.306622791831366</v>
      </c>
      <c r="Y14" s="37">
        <f>'GenFund Statement'!Y17*$K$3/Y$3/1000000</f>
        <v>47.036740515437486</v>
      </c>
      <c r="Z14" s="37">
        <f>'GenFund Statement'!Z17*$K$3/Z$3/1000000</f>
        <v>44.336536160301129</v>
      </c>
    </row>
    <row r="15" spans="1:26">
      <c r="A15" s="77" t="s">
        <v>9</v>
      </c>
      <c r="B15" s="77"/>
      <c r="C15" s="77"/>
      <c r="D15" s="79">
        <f>'GenFund Statement'!D18*$K$3/D$3/1000000</f>
        <v>15.739304078488377</v>
      </c>
      <c r="E15" s="79">
        <f>'GenFund Statement'!E18*$K$3/E$3/1000000</f>
        <v>17.743991479496326</v>
      </c>
      <c r="F15" s="79">
        <f>'GenFund Statement'!F18*$K$3/F$3/1000000</f>
        <v>17.743991479496326</v>
      </c>
      <c r="G15" s="79">
        <f>'GenFund Statement'!G18*$K$3/G$3/1000000</f>
        <v>19.799415641908507</v>
      </c>
      <c r="H15" s="79">
        <f>'GenFund Statement'!H18*$K$3/H$3/1000000</f>
        <v>19.109553369404818</v>
      </c>
      <c r="I15" s="79">
        <f>'GenFund Statement'!I18*$K$3/I$3/1000000</f>
        <v>15.076000983767832</v>
      </c>
      <c r="J15" s="37">
        <f>'GenFund Statement'!J18*$K$3/J$3/1000000</f>
        <v>17.852508</v>
      </c>
      <c r="K15" s="37">
        <f>'GenFund Statement'!K18*$K$3/K$3/1000000</f>
        <v>15.030165</v>
      </c>
      <c r="L15" s="37">
        <f>'GenFund Statement'!L18*$K$3/L$3/1000000</f>
        <v>15.546106697750123</v>
      </c>
      <c r="M15" s="37">
        <f>'GenFund Statement'!M18*$K$3/M$3/1000000</f>
        <v>14.678118877166098</v>
      </c>
      <c r="N15" s="37">
        <f>'GenFund Statement'!N18*$K$3/N$3/1000000</f>
        <v>13.157699441151868</v>
      </c>
      <c r="O15" s="37">
        <f>'GenFund Statement'!O18*$K$3/O$3/1000000</f>
        <v>6.4490716000308792</v>
      </c>
      <c r="P15" s="37">
        <f>'GenFund Statement'!P18*$K$3/P$3/1000000</f>
        <v>9.3238188943601035</v>
      </c>
      <c r="Q15" s="37">
        <f>'GenFund Statement'!Q18*$K$3/Q$3/1000000</f>
        <v>10.282342034034983</v>
      </c>
      <c r="R15" s="37">
        <f>'GenFund Statement'!R18*$K$3/R$3/1000000</f>
        <v>8.5067479047001253</v>
      </c>
      <c r="S15" s="37">
        <f>'GenFund Statement'!S18*$K$3/S$3/1000000</f>
        <v>9.1210922157043672</v>
      </c>
      <c r="T15" s="37">
        <f>'GenFund Statement'!T18*$K$3/T$3/1000000</f>
        <v>8.7845930586183663</v>
      </c>
      <c r="U15" s="37">
        <f>'GenFund Statement'!U18*$K$3/U$3/1000000</f>
        <v>8.1363814271369339</v>
      </c>
      <c r="V15" s="37">
        <f>'GenFund Statement'!V18*$K$3/V$3/1000000</f>
        <v>6.9791160007318842</v>
      </c>
      <c r="W15" s="37">
        <f>'GenFund Statement'!W18*$K$3/W$3/1000000</f>
        <v>7.7637606119353348</v>
      </c>
      <c r="X15" s="37">
        <f>'GenFund Statement'!X18*$K$3/X$3/1000000</f>
        <v>7.2645720962121221</v>
      </c>
      <c r="Y15" s="37">
        <f>'GenFund Statement'!Y18*$K$3/Y$3/1000000</f>
        <v>15.235198623842432</v>
      </c>
      <c r="Z15" s="37">
        <f>'GenFund Statement'!Z18*$K$3/Z$3/1000000</f>
        <v>6.6375520857813131</v>
      </c>
    </row>
    <row r="16" spans="1:26">
      <c r="A16" s="77" t="s">
        <v>492</v>
      </c>
      <c r="B16" s="77"/>
      <c r="C16" s="77"/>
      <c r="D16" s="46">
        <f t="shared" ref="D16:Z16" si="0">SUM(D6:D15)</f>
        <v>3840.6430523212171</v>
      </c>
      <c r="E16" s="46">
        <f t="shared" si="0"/>
        <v>3687.806050147964</v>
      </c>
      <c r="F16" s="46">
        <f t="shared" si="0"/>
        <v>3684.7793841361745</v>
      </c>
      <c r="G16" s="46">
        <f t="shared" si="0"/>
        <v>3677.1900865715684</v>
      </c>
      <c r="H16" s="46">
        <f t="shared" si="0"/>
        <v>3640.9627043777673</v>
      </c>
      <c r="I16" s="46">
        <f t="shared" si="0"/>
        <v>3648.3654618789969</v>
      </c>
      <c r="J16" s="46">
        <f t="shared" si="0"/>
        <v>3586.1076659999994</v>
      </c>
      <c r="K16" s="46">
        <f t="shared" si="0"/>
        <v>3584.3278740000001</v>
      </c>
      <c r="L16" s="46">
        <f t="shared" si="0"/>
        <v>3554.8419791106799</v>
      </c>
      <c r="M16" s="46">
        <f t="shared" si="0"/>
        <v>3484.8165391833249</v>
      </c>
      <c r="N16" s="46">
        <f t="shared" si="0"/>
        <v>3495.1816223970491</v>
      </c>
      <c r="O16" s="46">
        <f t="shared" si="0"/>
        <v>3637.6456090215634</v>
      </c>
      <c r="P16" s="46">
        <f t="shared" si="0"/>
        <v>3676.4076991923912</v>
      </c>
      <c r="Q16" s="46">
        <f t="shared" si="0"/>
        <v>3623.684608394366</v>
      </c>
      <c r="R16" s="46">
        <f t="shared" si="0"/>
        <v>3695.4470790910655</v>
      </c>
      <c r="S16" s="46">
        <f t="shared" si="0"/>
        <v>3643.4017546169202</v>
      </c>
      <c r="T16" s="46">
        <f t="shared" si="0"/>
        <v>3434.5549927725624</v>
      </c>
      <c r="U16" s="46">
        <f t="shared" si="0"/>
        <v>3298.4098869914046</v>
      </c>
      <c r="V16" s="46">
        <f t="shared" si="0"/>
        <v>3176.3868442935341</v>
      </c>
      <c r="W16" s="46">
        <f t="shared" si="0"/>
        <v>3027.0551586599813</v>
      </c>
      <c r="X16" s="46">
        <f t="shared" si="0"/>
        <v>2862.4541904162288</v>
      </c>
      <c r="Y16" s="46">
        <f t="shared" si="0"/>
        <v>2739.0452598019688</v>
      </c>
      <c r="Z16" s="46">
        <f t="shared" si="0"/>
        <v>2637.5124896050529</v>
      </c>
    </row>
    <row r="17" spans="1:27">
      <c r="A17" s="2"/>
      <c r="B17" s="2"/>
      <c r="C17" s="2"/>
      <c r="D17" s="2"/>
      <c r="E17" s="2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</row>
    <row r="18" spans="1:27" ht="18.75">
      <c r="A18" s="44" t="s">
        <v>520</v>
      </c>
      <c r="D18" s="45">
        <v>2017</v>
      </c>
      <c r="E18" s="45">
        <v>2016</v>
      </c>
      <c r="F18" s="45">
        <v>2016</v>
      </c>
      <c r="G18" s="45">
        <v>2015</v>
      </c>
      <c r="H18" s="45">
        <v>2015</v>
      </c>
      <c r="I18" s="45">
        <v>2015</v>
      </c>
      <c r="J18" s="45">
        <v>2014</v>
      </c>
      <c r="K18" s="45">
        <v>2014</v>
      </c>
      <c r="L18" s="45">
        <v>2013</v>
      </c>
      <c r="M18" s="45">
        <v>2012</v>
      </c>
      <c r="N18" s="45">
        <v>2011</v>
      </c>
      <c r="O18" s="45">
        <v>2010</v>
      </c>
      <c r="P18" s="45">
        <v>2009</v>
      </c>
      <c r="Q18" s="45">
        <v>2008</v>
      </c>
      <c r="R18" s="45">
        <v>2007</v>
      </c>
      <c r="S18" s="45">
        <v>2006</v>
      </c>
      <c r="T18" s="45">
        <v>2005</v>
      </c>
      <c r="U18" s="45">
        <v>2004</v>
      </c>
      <c r="V18" s="45">
        <v>2003</v>
      </c>
      <c r="W18" s="45">
        <v>2002</v>
      </c>
      <c r="X18" s="45">
        <v>2001</v>
      </c>
      <c r="Y18" s="45">
        <v>2000</v>
      </c>
      <c r="Z18" s="45">
        <v>1999</v>
      </c>
    </row>
    <row r="19" spans="1:27" ht="18.75">
      <c r="A19" s="41" t="s">
        <v>521</v>
      </c>
      <c r="D19" s="15" t="str">
        <f>'GenFund Statement'!D4</f>
        <v>Advertised</v>
      </c>
      <c r="E19" s="15" t="str">
        <f>'GenFund Statement'!E4</f>
        <v>Adopted</v>
      </c>
      <c r="F19" s="15" t="str">
        <f>'GenFund Statement'!F4</f>
        <v>Advertised</v>
      </c>
      <c r="G19" s="15" t="str">
        <f>'GenFund Statement'!G4</f>
        <v>Actual</v>
      </c>
      <c r="H19" s="15" t="str">
        <f>'GenFund Statement'!H4</f>
        <v>Revised</v>
      </c>
      <c r="I19" s="15" t="str">
        <f>'GenFund Statement'!I4</f>
        <v>Adopted</v>
      </c>
      <c r="J19" s="15" t="str">
        <f>'GenFund Statement'!J4</f>
        <v>Actual</v>
      </c>
      <c r="K19" s="15" t="str">
        <f>'GenFund Statement'!K4</f>
        <v>Revised</v>
      </c>
    </row>
    <row r="20" spans="1:27">
      <c r="A20" s="81" t="str">
        <f>'GenFund Statement'!A59</f>
        <v>Public School Operating  (School Transfer Fund)</v>
      </c>
      <c r="B20" s="81"/>
      <c r="C20" s="81"/>
      <c r="D20" s="79">
        <f>'GenFund Statement'!D59*$K$3/D$3/1000000</f>
        <v>1801.3597046175439</v>
      </c>
      <c r="E20" s="79">
        <f>'GenFund Statement'!E59*$K$3/E$3/1000000</f>
        <v>1766.3818466043194</v>
      </c>
      <c r="F20" s="79">
        <f>'GenFund Statement'!F59*$K$3/F$3/1000000</f>
        <v>1766.3818466043194</v>
      </c>
      <c r="G20" s="79">
        <f>'GenFund Statement'!G59*$K$3/G$3/1000000</f>
        <v>1739.7918278406296</v>
      </c>
      <c r="H20" s="79">
        <f>'GenFund Statement'!H59*$K$3/H$3/1000000</f>
        <v>1739.7918278406296</v>
      </c>
      <c r="I20" s="79">
        <f>'GenFund Statement'!I59*$K$3/I$3/1000000</f>
        <v>1739.7918278406296</v>
      </c>
      <c r="J20" s="37">
        <f>'GenFund Statement'!J59*$K$3/J$3/1000000</f>
        <v>1716.9887309999999</v>
      </c>
      <c r="K20" s="37">
        <f>'GenFund Statement'!K59*$K$3/K$3/1000000</f>
        <v>1716.9887309999999</v>
      </c>
      <c r="L20" s="37">
        <f>'GenFund Statement'!L59*$K$3/L$3/1000000</f>
        <v>1710.629525891103</v>
      </c>
      <c r="M20" s="37">
        <f>'GenFund Statement'!M59*$K$3/M$3/1000000</f>
        <v>1660.9448662940576</v>
      </c>
      <c r="N20" s="37">
        <f>'GenFund Statement'!N59*$K$3/N$3/1000000</f>
        <v>1696.1108081584348</v>
      </c>
      <c r="O20" s="37">
        <f>'GenFund Statement'!O59*$K$3/O$3/1000000</f>
        <v>1765.9464523953129</v>
      </c>
      <c r="P20" s="37">
        <f>'GenFund Statement'!P59*$K$3/P$3/1000000</f>
        <v>1794.9128570992993</v>
      </c>
      <c r="Q20" s="37">
        <f>'GenFund Statement'!Q59*$K$3/Q$3/1000000</f>
        <v>1744.5450038171587</v>
      </c>
      <c r="R20" s="37">
        <f>'GenFund Statement'!R59*$K$3/R$3/1000000</f>
        <v>1750.5771770979936</v>
      </c>
      <c r="S20" s="37">
        <f>'GenFund Statement'!S59*$K$3/S$3/1000000</f>
        <v>1680.8007376578541</v>
      </c>
      <c r="T20" s="37">
        <f>'GenFund Statement'!T59*$K$3/T$3/1000000</f>
        <v>1602.9380231916532</v>
      </c>
      <c r="U20" s="37">
        <f>'GenFund Statement'!U59*$K$3/U$3/1000000</f>
        <v>1555.0775457948273</v>
      </c>
      <c r="V20" s="37">
        <f>'GenFund Statement'!V59*$K$3/V$3/1000000</f>
        <v>1503.8861414187854</v>
      </c>
      <c r="W20" s="37">
        <f>'GenFund Statement'!W59*$K$3/W$3/1000000</f>
        <v>1421.0904360962127</v>
      </c>
      <c r="X20" s="37">
        <f>'GenFund Statement'!X59*$K$3/X$3/1000000</f>
        <v>1320.6976150373011</v>
      </c>
      <c r="Y20" s="37">
        <f>'GenFund Statement'!Y59*$K$3/Y$3/1000000</f>
        <v>1233.7399536936557</v>
      </c>
      <c r="Z20" s="37">
        <f>'GenFund Statement'!Z59*$K$3/Z$3/1000000</f>
        <v>1210.8612003852645</v>
      </c>
      <c r="AA20" s="1"/>
    </row>
    <row r="21" spans="1:27">
      <c r="A21" s="81" t="str">
        <f>'GenFund Statement'!A50</f>
        <v>Personnel Services</v>
      </c>
      <c r="B21" s="81"/>
      <c r="C21" s="81"/>
      <c r="D21" s="79">
        <f>'GenFund Statement'!D50*$K$3/D$3/1000000</f>
        <v>771.81601010434042</v>
      </c>
      <c r="E21" s="79">
        <f>'GenFund Statement'!E50*$K$3/E$3/1000000</f>
        <v>748.63759865804968</v>
      </c>
      <c r="F21" s="79">
        <f>'GenFund Statement'!F50*$K$3/F$3/1000000</f>
        <v>745.28067602705858</v>
      </c>
      <c r="G21" s="79">
        <f>'GenFund Statement'!G50*$K$3/G$3/1000000</f>
        <v>722.65392818494831</v>
      </c>
      <c r="H21" s="79">
        <f>'GenFund Statement'!H50*$K$3/H$3/1000000</f>
        <v>738.82334972946387</v>
      </c>
      <c r="I21" s="79">
        <f>'GenFund Statement'!I50*$K$3/I$3/1000000</f>
        <v>739.85801770782098</v>
      </c>
      <c r="J21" s="37">
        <f>'GenFund Statement'!J50*$K$3/J$3/1000000</f>
        <v>712.590507</v>
      </c>
      <c r="K21" s="37">
        <f>'GenFund Statement'!K50*$K$3/K$3/1000000</f>
        <v>731.82869300000004</v>
      </c>
      <c r="L21" s="37">
        <f>'GenFund Statement'!L50*$K$3/L$3/1000000</f>
        <v>706.91942663400243</v>
      </c>
      <c r="M21" s="37">
        <f>'GenFund Statement'!M50*$K$3/M$3/1000000</f>
        <v>696.2911296482913</v>
      </c>
      <c r="N21" s="37">
        <f>'GenFund Statement'!N50*$K$3/N$3/1000000</f>
        <v>695.41070981064297</v>
      </c>
      <c r="O21" s="37">
        <f>'GenFund Statement'!O50*$K$3/O$3/1000000</f>
        <v>731.38535979865662</v>
      </c>
      <c r="P21" s="37">
        <f>'GenFund Statement'!P50*$K$3/P$3/1000000</f>
        <v>766.59330094116092</v>
      </c>
      <c r="Q21" s="37">
        <f>'GenFund Statement'!Q50*$K$3/Q$3/1000000</f>
        <v>750.69858493534457</v>
      </c>
      <c r="R21" s="37">
        <f>'GenFund Statement'!R50*$K$3/R$3/1000000</f>
        <v>739.54641382988655</v>
      </c>
      <c r="S21" s="37">
        <f>'GenFund Statement'!S50*$K$3/S$3/1000000</f>
        <v>703.8458925920346</v>
      </c>
      <c r="T21" s="37">
        <f>'GenFund Statement'!T50*$K$3/T$3/1000000</f>
        <v>670.17129159997273</v>
      </c>
      <c r="U21" s="37">
        <f>'GenFund Statement'!U50*$K$3/U$3/1000000</f>
        <v>659.06964683350543</v>
      </c>
      <c r="V21" s="37">
        <f>'GenFund Statement'!V50*$K$3/V$3/1000000</f>
        <v>650.70801798846651</v>
      </c>
      <c r="W21" s="37">
        <f>'GenFund Statement'!W50*$K$3/W$3/1000000</f>
        <v>628.632431788541</v>
      </c>
      <c r="X21" s="37">
        <f>'GenFund Statement'!X50*$K$3/X$3/1000000</f>
        <v>602.74722214121778</v>
      </c>
      <c r="Y21" s="37">
        <f>'GenFund Statement'!Y50*$K$3/Y$3/1000000</f>
        <v>574.68994409234529</v>
      </c>
      <c r="Z21" s="37">
        <f>'GenFund Statement'!Z50*$K$3/Z$3/1000000</f>
        <v>545.61340295896377</v>
      </c>
      <c r="AA21" s="1"/>
    </row>
    <row r="22" spans="1:27">
      <c r="A22" s="81" t="str">
        <f>'GenFund Statement'!A51</f>
        <v>Operating Expenses</v>
      </c>
      <c r="B22" s="81"/>
      <c r="C22" s="81"/>
      <c r="D22" s="79">
        <f>'GenFund Statement'!D51*$K$3/D$3/1000000</f>
        <v>336.35283680099565</v>
      </c>
      <c r="E22" s="79">
        <f>'GenFund Statement'!E51*$K$3/E$3/1000000</f>
        <v>331.42731066279964</v>
      </c>
      <c r="F22" s="79">
        <f>'GenFund Statement'!F51*$K$3/F$3/1000000</f>
        <v>329.98752942411841</v>
      </c>
      <c r="G22" s="79">
        <f>'GenFund Statement'!G51*$K$3/G$3/1000000</f>
        <v>333.06777963600587</v>
      </c>
      <c r="H22" s="79">
        <f>'GenFund Statement'!H51*$K$3/H$3/1000000</f>
        <v>374.17654599114604</v>
      </c>
      <c r="I22" s="79">
        <f>'GenFund Statement'!I51*$K$3/I$3/1000000</f>
        <v>338.12227545499258</v>
      </c>
      <c r="J22" s="37">
        <f>'GenFund Statement'!J51*$K$3/J$3/1000000</f>
        <v>332.69027</v>
      </c>
      <c r="K22" s="37">
        <f>'GenFund Statement'!K51*$K$3/K$3/1000000</f>
        <v>372.04322500000001</v>
      </c>
      <c r="L22" s="37">
        <f>'GenFund Statement'!L51*$K$3/L$3/1000000</f>
        <v>340.22603300587986</v>
      </c>
      <c r="M22" s="37">
        <f>'GenFund Statement'!M51*$K$3/M$3/1000000</f>
        <v>357.92089935752432</v>
      </c>
      <c r="N22" s="37">
        <f>'GenFund Statement'!N51*$K$3/N$3/1000000</f>
        <v>349.14842315909198</v>
      </c>
      <c r="O22" s="37">
        <f>'GenFund Statement'!O51*$K$3/O$3/1000000</f>
        <v>355.90348752287179</v>
      </c>
      <c r="P22" s="37">
        <f>'GenFund Statement'!P51*$K$3/P$3/1000000</f>
        <v>405.36851778355486</v>
      </c>
      <c r="Q22" s="37">
        <f>'GenFund Statement'!Q51*$K$3/Q$3/1000000</f>
        <v>397.74621031647496</v>
      </c>
      <c r="R22" s="37">
        <f>'GenFund Statement'!R51*$K$3/R$3/1000000</f>
        <v>399.32666686549925</v>
      </c>
      <c r="S22" s="37">
        <f>'GenFund Statement'!S51*$K$3/S$3/1000000</f>
        <v>403.14304181448915</v>
      </c>
      <c r="T22" s="37">
        <f>'GenFund Statement'!T51*$K$3/T$3/1000000</f>
        <v>405.71400711518777</v>
      </c>
      <c r="U22" s="37">
        <f>'GenFund Statement'!U51*$K$3/U$3/1000000</f>
        <v>386.20711879317628</v>
      </c>
      <c r="V22" s="37">
        <f>'GenFund Statement'!V51*$K$3/V$3/1000000</f>
        <v>395.81090262415404</v>
      </c>
      <c r="W22" s="37">
        <f>'GenFund Statement'!W51*$K$3/W$3/1000000</f>
        <v>383.97861152635352</v>
      </c>
      <c r="X22" s="37">
        <f>'GenFund Statement'!X51*$K$3/X$3/1000000</f>
        <v>365.55165363749296</v>
      </c>
      <c r="Y22" s="37">
        <f>'GenFund Statement'!Y51*$K$3/Y$3/1000000</f>
        <v>370.02465551135123</v>
      </c>
      <c r="Z22" s="37">
        <f>'GenFund Statement'!Z51*$K$3/Z$3/1000000</f>
        <v>349.26542527836239</v>
      </c>
      <c r="AA22" s="1"/>
    </row>
    <row r="23" spans="1:27">
      <c r="A23" s="81" t="str">
        <f>'GenFund Statement'!A54 &amp; ", including OPEB's"</f>
        <v>Non-school Fringe Benefits, including OPEB's</v>
      </c>
      <c r="B23" s="81"/>
      <c r="C23" s="81"/>
      <c r="D23" s="79">
        <f>('GenFund Statement'!D54+'GenFund Statement'!D92+'GenFund Statement'!D93+'GenFund Statement'!D102)*$K$3/D$3/1000000</f>
        <v>356.34252308049446</v>
      </c>
      <c r="E23" s="79">
        <f>('GenFund Statement'!E54+'GenFund Statement'!E92+'GenFund Statement'!E93+'GenFund Statement'!E102)*$K$3/E$3/1000000</f>
        <v>352.60651391731466</v>
      </c>
      <c r="F23" s="79">
        <f>('GenFund Statement'!F54+'GenFund Statement'!F92+'GenFund Statement'!F93+'GenFund Statement'!F102)*$K$3/F$3/1000000</f>
        <v>352.33829999789498</v>
      </c>
      <c r="G23" s="79">
        <f>('GenFund Statement'!G54+'GenFund Statement'!G92+'GenFund Statement'!G93+'GenFund Statement'!G102)*$K$3/G$3/1000000</f>
        <v>330.73159075258235</v>
      </c>
      <c r="H23" s="79">
        <f>('GenFund Statement'!H54+'GenFund Statement'!H92+'GenFund Statement'!H93+'GenFund Statement'!H102)*$K$3/H$3/1000000</f>
        <v>337.63160846040336</v>
      </c>
      <c r="I23" s="79">
        <f>('GenFund Statement'!I54+'GenFund Statement'!I92+'GenFund Statement'!I93+'GenFund Statement'!I102)*$K$3/I$3/1000000</f>
        <v>336.45841219872113</v>
      </c>
      <c r="J23" s="37">
        <f>('GenFund Statement'!J54+'GenFund Statement'!J92+'GenFund Statement'!J93+'GenFund Statement'!J102)*$K$3/J$3/1000000</f>
        <v>316.40829400000001</v>
      </c>
      <c r="K23" s="37">
        <f>('GenFund Statement'!K54+'GenFund Statement'!K92+'GenFund Statement'!K93+'GenFund Statement'!K102)*$K$3/K$3/1000000</f>
        <v>328.65172699999999</v>
      </c>
      <c r="L23" s="37">
        <f>('GenFund Statement'!L54+'GenFund Statement'!L92+'GenFund Statement'!L93+'GenFund Statement'!L102)*$K$3/L$3/1000000</f>
        <v>315.95030703925721</v>
      </c>
      <c r="M23" s="37">
        <f>('GenFund Statement'!M54+'GenFund Statement'!M92+'GenFund Statement'!M93+'GenFund Statement'!M102)*$K$3/M$3/1000000</f>
        <v>296.79947879205787</v>
      </c>
      <c r="N23" s="37">
        <f>('GenFund Statement'!N54+'GenFund Statement'!N92+'GenFund Statement'!N93+'GenFund Statement'!N102)*$K$3/N$3/1000000</f>
        <v>260.85186683668474</v>
      </c>
      <c r="O23" s="37">
        <f>('GenFund Statement'!O54+'GenFund Statement'!O92+'GenFund Statement'!O93+'GenFund Statement'!O102)*$K$3/O$3/1000000</f>
        <v>219.05512258194531</v>
      </c>
      <c r="P23" s="37">
        <f>('GenFund Statement'!P54+'GenFund Statement'!P92+'GenFund Statement'!P93+'GenFund Statement'!P102)*$K$3/P$3/1000000</f>
        <v>219.92789441943427</v>
      </c>
      <c r="Q23" s="37">
        <f>('GenFund Statement'!Q54+'GenFund Statement'!Q92+'GenFund Statement'!Q93+'GenFund Statement'!Q102)*$K$3/Q$3/1000000</f>
        <v>229.5020698313927</v>
      </c>
      <c r="R23" s="37">
        <f>('GenFund Statement'!R54+'GenFund Statement'!R92+'GenFund Statement'!R93+'GenFund Statement'!R102)*$K$3/R$3/1000000</f>
        <v>224.38797820770756</v>
      </c>
      <c r="S23" s="37">
        <f>('GenFund Statement'!S54+'GenFund Statement'!S92+'GenFund Statement'!S93+'GenFund Statement'!S102)*$K$3/S$3/1000000</f>
        <v>198.51603319898152</v>
      </c>
      <c r="T23" s="37">
        <f>('GenFund Statement'!T54+'GenFund Statement'!T92+'GenFund Statement'!T93+'GenFund Statement'!T102)*$K$3/T$3/1000000</f>
        <v>189.92452921270694</v>
      </c>
      <c r="U23" s="37">
        <f>('GenFund Statement'!U54+'GenFund Statement'!U92+'GenFund Statement'!U93+'GenFund Statement'!U102)*$K$3/U$3/1000000</f>
        <v>170.31693386838717</v>
      </c>
      <c r="V23" s="37">
        <f>('GenFund Statement'!V54+'GenFund Statement'!V92+'GenFund Statement'!V93+'GenFund Statement'!V102)*$K$3/V$3/1000000</f>
        <v>167.50950533537412</v>
      </c>
      <c r="W23" s="37">
        <f>('GenFund Statement'!W54+'GenFund Statement'!W92+'GenFund Statement'!W93+'GenFund Statement'!W102)*$K$3/W$3/1000000</f>
        <v>147.8415057952335</v>
      </c>
      <c r="X23" s="37">
        <f>('GenFund Statement'!X54+'GenFund Statement'!X92+'GenFund Statement'!X93+'GenFund Statement'!X102)*$K$3/X$3/1000000</f>
        <v>147.67436855942782</v>
      </c>
      <c r="Y23" s="37">
        <f>('GenFund Statement'!Y54+'GenFund Statement'!Y92+'GenFund Statement'!Y93+'GenFund Statement'!Y102)*$K$3/Y$3/1000000</f>
        <v>132.87213839128728</v>
      </c>
      <c r="Z23" s="37">
        <f>('GenFund Statement'!Z54+'GenFund Statement'!Z92+'GenFund Statement'!Z93+'GenFund Statement'!Z102)*$K$3/Z$3/1000000</f>
        <v>122.64474207796221</v>
      </c>
      <c r="AA23" s="1"/>
    </row>
    <row r="24" spans="1:27">
      <c r="A24" s="81" t="str">
        <f>'GenFund Statement'!A66</f>
        <v xml:space="preserve">School Debt Service   </v>
      </c>
      <c r="B24" s="81"/>
      <c r="C24" s="81"/>
      <c r="D24" s="79">
        <f>'GenFund Statement'!D65*$K$3/D$3/1000000</f>
        <v>131.03871445955571</v>
      </c>
      <c r="E24" s="79">
        <f>'GenFund Statement'!E65*$K$3/E$3/1000000</f>
        <v>123.67824259288875</v>
      </c>
      <c r="F24" s="79">
        <f>'GenFund Statement'!F65*$K$3/F$3/1000000</f>
        <v>123.67824259288875</v>
      </c>
      <c r="G24" s="79">
        <f>'GenFund Statement'!G65*$K$3/G$3/1000000</f>
        <v>131.57123167732414</v>
      </c>
      <c r="H24" s="79">
        <f>'GenFund Statement'!H65*$K$3/H$3/1000000</f>
        <v>131.57123167732414</v>
      </c>
      <c r="I24" s="79">
        <f>'GenFund Statement'!I65*$K$3/I$3/1000000</f>
        <v>131.57123167732414</v>
      </c>
      <c r="J24" s="37">
        <f>'GenFund Statement'!J65*$K$3/J$3/1000000</f>
        <v>118.79799199999999</v>
      </c>
      <c r="K24" s="37">
        <f>'GenFund Statement'!K65*$K$3/K$3/1000000</f>
        <v>118.79799199999999</v>
      </c>
      <c r="L24" s="37">
        <f>'GenFund Statement'!L65*$K$3/L$3/1000000</f>
        <v>118.7486904000136</v>
      </c>
      <c r="M24" s="37">
        <f>'GenFund Statement'!M65*$K$3/M$3/1000000</f>
        <v>120.41295096411962</v>
      </c>
      <c r="N24" s="37">
        <f>'GenFund Statement'!N65*$K$3/N$3/1000000</f>
        <v>128.0406445740004</v>
      </c>
      <c r="O24" s="37">
        <f>'GenFund Statement'!O65*$K$3/O$3/1000000</f>
        <v>120.43507898599061</v>
      </c>
      <c r="P24" s="37">
        <f>'GenFund Statement'!P65*$K$3/P$3/1000000</f>
        <v>124.87767300439087</v>
      </c>
      <c r="Q24" s="37">
        <f>'GenFund Statement'!Q65*$K$3/Q$3/1000000</f>
        <v>124.66039788380486</v>
      </c>
      <c r="R24" s="37">
        <f>'GenFund Statement'!R65*$K$3/R$3/1000000</f>
        <v>126.38346856412514</v>
      </c>
      <c r="S24" s="37">
        <f>'GenFund Statement'!S65*$K$3/S$3/1000000</f>
        <v>115.91988025832427</v>
      </c>
      <c r="T24" s="37">
        <f>'GenFund Statement'!T65*$K$3/T$3/1000000</f>
        <v>119.65923123439923</v>
      </c>
      <c r="U24" s="37">
        <f>'GenFund Statement'!U65*$K$3/U$3/1000000</f>
        <v>123.37563099985178</v>
      </c>
      <c r="V24" s="37">
        <f>'GenFund Statement'!V65*$K$3/V$3/1000000</f>
        <v>128.77610012477086</v>
      </c>
      <c r="W24" s="37">
        <f>'GenFund Statement'!W65*$K$3/W$3/1000000</f>
        <v>128.97434523111176</v>
      </c>
      <c r="X24" s="37">
        <f>'GenFund Statement'!X65*$K$3/X$3/1000000</f>
        <v>126.54548923511108</v>
      </c>
      <c r="Y24" s="37">
        <f>'GenFund Statement'!Y65*$K$3/Y$3/1000000</f>
        <v>130.07064493800814</v>
      </c>
      <c r="Z24" s="37">
        <f>'GenFund Statement'!Z65*$K$3/Z$3/1000000</f>
        <v>134.52882801634453</v>
      </c>
      <c r="AA24" s="1"/>
    </row>
    <row r="25" spans="1:27">
      <c r="A25" s="81" t="str">
        <f>'GenFund Statement'!A65</f>
        <v xml:space="preserve">County Debt Service   </v>
      </c>
      <c r="B25" s="81"/>
      <c r="C25" s="81"/>
      <c r="D25" s="79">
        <f>'GenFund Statement'!D66*$K$3/D$3/1000000</f>
        <v>181.93675193512934</v>
      </c>
      <c r="E25" s="79">
        <f>'GenFund Statement'!E66*$K$3/E$3/1000000</f>
        <v>181.13084620244086</v>
      </c>
      <c r="F25" s="79">
        <f>'GenFund Statement'!F66*$K$3/F$3/1000000</f>
        <v>181.13084620244086</v>
      </c>
      <c r="G25" s="79">
        <f>'GenFund Statement'!G66*$K$3/G$3/1000000</f>
        <v>174.26579045745203</v>
      </c>
      <c r="H25" s="79">
        <f>'GenFund Statement'!H66*$K$3/H$3/1000000</f>
        <v>174.26579045745203</v>
      </c>
      <c r="I25" s="79">
        <f>'GenFund Statement'!I66*$K$3/I$3/1000000</f>
        <v>174.26579045745203</v>
      </c>
      <c r="J25" s="37">
        <f>'GenFund Statement'!J66*$K$3/J$3/1000000</f>
        <v>172.367649</v>
      </c>
      <c r="K25" s="37">
        <f>'GenFund Statement'!K66*$K$3/K$3/1000000</f>
        <v>172.367649</v>
      </c>
      <c r="L25" s="37">
        <f>'GenFund Statement'!L66*$K$3/L$3/1000000</f>
        <v>167.42979094911115</v>
      </c>
      <c r="M25" s="37">
        <f>'GenFund Statement'!M66*$K$3/M$3/1000000</f>
        <v>164.70890386654696</v>
      </c>
      <c r="N25" s="37">
        <f>'GenFund Statement'!N66*$K$3/N$3/1000000</f>
        <v>168.6110833994332</v>
      </c>
      <c r="O25" s="37">
        <f>'GenFund Statement'!O66*$K$3/O$3/1000000</f>
        <v>177.79740862163311</v>
      </c>
      <c r="P25" s="37">
        <f>'GenFund Statement'!P66*$K$3/P$3/1000000</f>
        <v>170.63380717077163</v>
      </c>
      <c r="Q25" s="37">
        <f>'GenFund Statement'!Q66*$K$3/Q$3/1000000</f>
        <v>162.57786836811999</v>
      </c>
      <c r="R25" s="37">
        <f>'GenFund Statement'!R66*$K$3/R$3/1000000</f>
        <v>162.43841003949674</v>
      </c>
      <c r="S25" s="37">
        <f>'GenFund Statement'!S66*$K$3/S$3/1000000</f>
        <v>152.987745057648</v>
      </c>
      <c r="T25" s="37">
        <f>'GenFund Statement'!T66*$K$3/T$3/1000000</f>
        <v>153.37309904258493</v>
      </c>
      <c r="U25" s="37">
        <f>'GenFund Statement'!U66*$K$3/U$3/1000000</f>
        <v>151.51206528821336</v>
      </c>
      <c r="V25" s="37">
        <f>'GenFund Statement'!V66*$K$3/V$3/1000000</f>
        <v>146.16500200514224</v>
      </c>
      <c r="W25" s="37">
        <f>'GenFund Statement'!W66*$K$3/W$3/1000000</f>
        <v>138.86820891804336</v>
      </c>
      <c r="X25" s="37">
        <f>'GenFund Statement'!X66*$K$3/X$3/1000000</f>
        <v>127.32514123515811</v>
      </c>
      <c r="Y25" s="37">
        <f>'GenFund Statement'!Y66*$K$3/Y$3/1000000</f>
        <v>122.98720737915025</v>
      </c>
      <c r="Z25" s="37">
        <f>'GenFund Statement'!Z66*$K$3/Z$3/1000000</f>
        <v>117.90729897858445</v>
      </c>
      <c r="AA25" s="1"/>
    </row>
    <row r="26" spans="1:27">
      <c r="A26" s="81" t="str">
        <f>'GenFund Statement'!A78 &amp; "and other welfare programs"</f>
        <v>Fairfax-Falls Church Community Services Board and other welfare programs</v>
      </c>
      <c r="B26" s="81"/>
      <c r="C26" s="81"/>
      <c r="D26" s="79">
        <f>('GenFund Statement'!D78+'GenFund Statement'!D75+'GenFund Statement'!D76+'GenFund Statement'!D84+'GenFund Statement'!D85+'GenFund Statement'!D87+'GenFund Statement'!D96)*$K$3/D$3/1000000</f>
        <v>119.59419731492321</v>
      </c>
      <c r="E26" s="79">
        <f>('GenFund Statement'!E78+'GenFund Statement'!E75+'GenFund Statement'!E76+'GenFund Statement'!E84+'GenFund Statement'!E85+'GenFund Statement'!E87+'GenFund Statement'!E96)*$K$3/E$3/1000000</f>
        <v>113.60524489068588</v>
      </c>
      <c r="F26" s="79">
        <f>('GenFund Statement'!F78+'GenFund Statement'!F75+'GenFund Statement'!F76+'GenFund Statement'!F84+'GenFund Statement'!F85+'GenFund Statement'!F87+'GenFund Statement'!F96)*$K$3/F$3/1000000</f>
        <v>113.02830691523943</v>
      </c>
      <c r="G26" s="79">
        <f>('GenFund Statement'!G78+'GenFund Statement'!G75+'GenFund Statement'!G76+'GenFund Statement'!G84+'GenFund Statement'!G85+'GenFund Statement'!G87+'GenFund Statement'!G96)*$K$3/G$3/1000000</f>
        <v>112.20452336448598</v>
      </c>
      <c r="H26" s="79">
        <f>('GenFund Statement'!H78+'GenFund Statement'!H75+'GenFund Statement'!H76+'GenFund Statement'!H84+'GenFund Statement'!H85+'GenFund Statement'!H87+'GenFund Statement'!H96)*$K$3/H$3/1000000</f>
        <v>113.31618101328087</v>
      </c>
      <c r="I26" s="79">
        <f>('GenFund Statement'!I78+'GenFund Statement'!I75+'GenFund Statement'!I76+'GenFund Statement'!I84+'GenFund Statement'!I85+'GenFund Statement'!I87+'GenFund Statement'!I96)*$K$3/I$3/1000000</f>
        <v>113.31618101328087</v>
      </c>
      <c r="J26" s="37">
        <f>('GenFund Statement'!J78+'GenFund Statement'!J75+'GenFund Statement'!J76+'GenFund Statement'!J84+'GenFund Statement'!J85+'GenFund Statement'!J87+'GenFund Statement'!J96)*$K$3/J$3/1000000</f>
        <v>111.94530499999999</v>
      </c>
      <c r="K26" s="37">
        <f>('GenFund Statement'!K78+'GenFund Statement'!K75+'GenFund Statement'!K76+'GenFund Statement'!K84+'GenFund Statement'!K85+'GenFund Statement'!K87+'GenFund Statement'!K96)*$K$3/K$3/1000000</f>
        <v>111.90549300000001</v>
      </c>
      <c r="L26" s="37">
        <f>('GenFund Statement'!L78+'GenFund Statement'!L75+'GenFund Statement'!L76+'GenFund Statement'!L84+'GenFund Statement'!L85+'GenFund Statement'!L87+'GenFund Statement'!L96)*$K$3/L$3/1000000</f>
        <v>114.54101107918947</v>
      </c>
      <c r="M26" s="37">
        <f>('GenFund Statement'!M78+'GenFund Statement'!M75+'GenFund Statement'!M76+'GenFund Statement'!M84+'GenFund Statement'!M85+'GenFund Statement'!M87+'GenFund Statement'!M96)*$K$3/M$3/1000000</f>
        <v>106.51322287345374</v>
      </c>
      <c r="N26" s="37">
        <f>('GenFund Statement'!N78+'GenFund Statement'!N75+'GenFund Statement'!N76+'GenFund Statement'!N84+'GenFund Statement'!N85+'GenFund Statement'!N87+'GenFund Statement'!N96)*$K$3/N$3/1000000</f>
        <v>103.76355016456822</v>
      </c>
      <c r="O26" s="37">
        <f>('GenFund Statement'!O78+'GenFund Statement'!O75+'GenFund Statement'!O76+'GenFund Statement'!O84+'GenFund Statement'!O85+'GenFund Statement'!O87+'GenFund Statement'!O96)*$K$3/O$3/1000000</f>
        <v>109.01840526021297</v>
      </c>
      <c r="P26" s="37">
        <f>('GenFund Statement'!P78+'GenFund Statement'!P75+'GenFund Statement'!P76+'GenFund Statement'!P84+'GenFund Statement'!P85+'GenFund Statement'!P87+'GenFund Statement'!P96)*$K$3/P$3/1000000</f>
        <v>118.8449819558266</v>
      </c>
      <c r="Q26" s="37">
        <f>('GenFund Statement'!Q78+'GenFund Statement'!Q75+'GenFund Statement'!Q76+'GenFund Statement'!Q84+'GenFund Statement'!Q85+'GenFund Statement'!Q87+'GenFund Statement'!Q96)*$K$3/Q$3/1000000</f>
        <v>116.70757104492121</v>
      </c>
      <c r="R26" s="37">
        <f>('GenFund Statement'!R78+'GenFund Statement'!R75+'GenFund Statement'!R76+'GenFund Statement'!R84+'GenFund Statement'!R85+'GenFund Statement'!R87+'GenFund Statement'!R96)*$K$3/R$3/1000000</f>
        <v>119.26100759770091</v>
      </c>
      <c r="S26" s="37">
        <f>('GenFund Statement'!S78+'GenFund Statement'!S75+'GenFund Statement'!S76+'GenFund Statement'!S84+'GenFund Statement'!S85+'GenFund Statement'!S87+'GenFund Statement'!S96)*$K$3/S$3/1000000</f>
        <v>133.74425706130293</v>
      </c>
      <c r="T26" s="37">
        <f>('GenFund Statement'!T78+'GenFund Statement'!T75+'GenFund Statement'!T76+'GenFund Statement'!T84+'GenFund Statement'!T85+'GenFund Statement'!T87+'GenFund Statement'!T96)*$K$3/T$3/1000000</f>
        <v>112.07638999105309</v>
      </c>
      <c r="U26" s="37">
        <f>('GenFund Statement'!U78+'GenFund Statement'!U75+'GenFund Statement'!U76+'GenFund Statement'!U84+'GenFund Statement'!U85+'GenFund Statement'!U87+'GenFund Statement'!U96)*$K$3/U$3/1000000</f>
        <v>107.88630318987823</v>
      </c>
      <c r="V26" s="37">
        <f>('GenFund Statement'!V78+'GenFund Statement'!V75+'GenFund Statement'!V76+'GenFund Statement'!V84+'GenFund Statement'!V85+'GenFund Statement'!V87+'GenFund Statement'!V96)*$K$3/V$3/1000000</f>
        <v>106.75649987056251</v>
      </c>
      <c r="W26" s="37">
        <f>('GenFund Statement'!W78+'GenFund Statement'!W75+'GenFund Statement'!W76+'GenFund Statement'!W84+'GenFund Statement'!W85+'GenFund Statement'!W87+'GenFund Statement'!W96)*$K$3/W$3/1000000</f>
        <v>104.71070808173337</v>
      </c>
      <c r="X26" s="37">
        <f>('GenFund Statement'!X78+'GenFund Statement'!X75+'GenFund Statement'!X76+'GenFund Statement'!X84+'GenFund Statement'!X85+'GenFund Statement'!X87+'GenFund Statement'!X96)*$K$3/X$3/1000000</f>
        <v>100.76610102410127</v>
      </c>
      <c r="Y26" s="37">
        <f>('GenFund Statement'!Y78+'GenFund Statement'!Y75+'GenFund Statement'!Y76+'GenFund Statement'!Y84+'GenFund Statement'!Y85+'GenFund Statement'!Y87+'GenFund Statement'!Y96)*$K$3/Y$3/1000000</f>
        <v>84.578606535296188</v>
      </c>
      <c r="Z26" s="37">
        <f>('GenFund Statement'!Z78+'GenFund Statement'!Z75+'GenFund Statement'!Z76+'GenFund Statement'!Z84+'GenFund Statement'!Z85+'GenFund Statement'!Z87+'GenFund Statement'!Z96)*$K$3/Z$3/1000000</f>
        <v>78.020155126440585</v>
      </c>
      <c r="AA26" s="1"/>
    </row>
    <row r="27" spans="1:27">
      <c r="A27" s="81" t="str">
        <f>'GenFund Statement'!A77</f>
        <v xml:space="preserve">County Transit Systems   </v>
      </c>
      <c r="B27" s="81"/>
      <c r="C27" s="81"/>
      <c r="D27" s="79">
        <f>('GenFund Statement'!D67+'GenFund Statement'!D77)*$K$3/D$3/1000000</f>
        <v>46.461645237130178</v>
      </c>
      <c r="E27" s="79">
        <f>('GenFund Statement'!E67+'GenFund Statement'!E77)*$K$3/E$3/1000000</f>
        <v>44.369753470104321</v>
      </c>
      <c r="F27" s="79">
        <f>('GenFund Statement'!F67+'GenFund Statement'!F77)*$K$3/F$3/1000000</f>
        <v>44.369753470104321</v>
      </c>
      <c r="G27" s="79">
        <f>('GenFund Statement'!G67+'GenFund Statement'!G77)*$K$3/G$3/1000000</f>
        <v>45.101854402361042</v>
      </c>
      <c r="H27" s="79">
        <f>('GenFund Statement'!H67+'GenFund Statement'!H77)*$K$3/H$3/1000000</f>
        <v>45.101854402361042</v>
      </c>
      <c r="I27" s="79">
        <f>('GenFund Statement'!I67+'GenFund Statement'!I77)*$K$3/I$3/1000000</f>
        <v>45.101854402361042</v>
      </c>
      <c r="J27" s="37">
        <f>('GenFund Statement'!J67+'GenFund Statement'!J77)*$K$3/J$3/1000000</f>
        <v>45.846035000000001</v>
      </c>
      <c r="K27" s="37">
        <f>('GenFund Statement'!K67+'GenFund Statement'!K77)*$K$3/K$3/1000000</f>
        <v>45.846035000000001</v>
      </c>
      <c r="L27" s="37">
        <f>('GenFund Statement'!L67+'GenFund Statement'!L77)*$K$3/L$3/1000000</f>
        <v>48.622204373548776</v>
      </c>
      <c r="M27" s="37">
        <f>('GenFund Statement'!M67+'GenFund Statement'!M77)*$K$3/M$3/1000000</f>
        <v>47.177094983589498</v>
      </c>
      <c r="N27" s="37">
        <f>('GenFund Statement'!N67+'GenFund Statement'!N77)*$K$3/N$3/1000000</f>
        <v>41.468341997255557</v>
      </c>
      <c r="O27" s="37">
        <f>('GenFund Statement'!O67+'GenFund Statement'!O77)*$K$3/O$3/1000000</f>
        <v>31.454176125174268</v>
      </c>
      <c r="P27" s="37">
        <f>('GenFund Statement'!P67+'GenFund Statement'!P77)*$K$3/P$3/1000000</f>
        <v>45.117700079301009</v>
      </c>
      <c r="Q27" s="37">
        <f>('GenFund Statement'!Q67+'GenFund Statement'!Q77)*$K$3/Q$3/1000000</f>
        <v>60.456925599785727</v>
      </c>
      <c r="R27" s="37">
        <f>('GenFund Statement'!R67+'GenFund Statement'!R77)*$K$3/R$3/1000000</f>
        <v>58.586120201183711</v>
      </c>
      <c r="S27" s="37">
        <f>('GenFund Statement'!S67+'GenFund Statement'!S77)*$K$3/S$3/1000000</f>
        <v>56.018024237731488</v>
      </c>
      <c r="T27" s="37">
        <f>('GenFund Statement'!T67+'GenFund Statement'!T77)*$K$3/T$3/1000000</f>
        <v>47.886607536472944</v>
      </c>
      <c r="U27" s="37">
        <f>('GenFund Statement'!U67+'GenFund Statement'!U77)*$K$3/U$3/1000000</f>
        <v>40.001653468165692</v>
      </c>
      <c r="V27" s="37">
        <f>('GenFund Statement'!V67+'GenFund Statement'!V77)*$K$3/V$3/1000000</f>
        <v>38.870480597541665</v>
      </c>
      <c r="W27" s="37">
        <f>('GenFund Statement'!W67+'GenFund Statement'!W77)*$K$3/W$3/1000000</f>
        <v>36.206456964571984</v>
      </c>
      <c r="X27" s="37">
        <f>('GenFund Statement'!X67+'GenFund Statement'!X77)*$K$3/X$3/1000000</f>
        <v>38.197669226912296</v>
      </c>
      <c r="Y27" s="37">
        <f>('GenFund Statement'!Y67+'GenFund Statement'!Y77)*$K$3/Y$3/1000000</f>
        <v>35.50045788496903</v>
      </c>
      <c r="Z27" s="37">
        <f>('GenFund Statement'!Z67+'GenFund Statement'!Z77)*$K$3/Z$3/1000000</f>
        <v>45.568634228969593</v>
      </c>
      <c r="AA27" s="1"/>
    </row>
    <row r="28" spans="1:27">
      <c r="A28" s="81" t="s">
        <v>513</v>
      </c>
      <c r="B28" s="81"/>
      <c r="C28" s="81"/>
      <c r="D28" s="79">
        <f t="shared" ref="D28:Z28" si="1">SUM(D20:D27)</f>
        <v>3744.902383550113</v>
      </c>
      <c r="E28" s="79">
        <f t="shared" si="1"/>
        <v>3661.8373569986029</v>
      </c>
      <c r="F28" s="79">
        <f t="shared" si="1"/>
        <v>3656.1955012340641</v>
      </c>
      <c r="G28" s="79">
        <f t="shared" si="1"/>
        <v>3589.388526315789</v>
      </c>
      <c r="H28" s="79">
        <f t="shared" si="1"/>
        <v>3654.6783895720614</v>
      </c>
      <c r="I28" s="79">
        <f t="shared" si="1"/>
        <v>3618.4855907525825</v>
      </c>
      <c r="J28" s="46">
        <f t="shared" si="1"/>
        <v>3527.6347829999995</v>
      </c>
      <c r="K28" s="46">
        <f t="shared" si="1"/>
        <v>3598.4295449999995</v>
      </c>
      <c r="L28" s="46">
        <f t="shared" si="1"/>
        <v>3523.0669893721051</v>
      </c>
      <c r="M28" s="46">
        <f t="shared" si="1"/>
        <v>3450.7685467796414</v>
      </c>
      <c r="N28" s="46">
        <f t="shared" si="1"/>
        <v>3443.4054281001117</v>
      </c>
      <c r="O28" s="46">
        <f t="shared" si="1"/>
        <v>3510.9954912917979</v>
      </c>
      <c r="P28" s="46">
        <f t="shared" si="1"/>
        <v>3646.2767324537394</v>
      </c>
      <c r="Q28" s="46">
        <f t="shared" si="1"/>
        <v>3586.8946317970031</v>
      </c>
      <c r="R28" s="46">
        <f t="shared" si="1"/>
        <v>3580.5072424035934</v>
      </c>
      <c r="S28" s="46">
        <f t="shared" si="1"/>
        <v>3444.9756118783657</v>
      </c>
      <c r="T28" s="46">
        <f t="shared" si="1"/>
        <v>3301.7431789240304</v>
      </c>
      <c r="U28" s="46">
        <f t="shared" si="1"/>
        <v>3193.4468982360049</v>
      </c>
      <c r="V28" s="46">
        <f t="shared" si="1"/>
        <v>3138.482649964797</v>
      </c>
      <c r="W28" s="46">
        <f t="shared" si="1"/>
        <v>2990.3027044018008</v>
      </c>
      <c r="X28" s="46">
        <f t="shared" si="1"/>
        <v>2829.5052600967228</v>
      </c>
      <c r="Y28" s="46">
        <f t="shared" si="1"/>
        <v>2684.4636084260628</v>
      </c>
      <c r="Z28" s="46">
        <f t="shared" si="1"/>
        <v>2604.409687050892</v>
      </c>
    </row>
    <row r="29" spans="1:27">
      <c r="K29" s="55"/>
      <c r="L29" s="55"/>
      <c r="M29" s="55"/>
      <c r="N29" s="55"/>
      <c r="O29" s="55"/>
      <c r="P29" s="55"/>
      <c r="Q29" s="55"/>
      <c r="R29" s="55"/>
      <c r="S29" s="55"/>
      <c r="T29" s="55"/>
      <c r="U29" s="55"/>
      <c r="V29" s="55"/>
      <c r="W29" s="55"/>
      <c r="X29" s="55"/>
      <c r="Y29" s="55"/>
      <c r="Z29" s="55"/>
    </row>
    <row r="30" spans="1:27">
      <c r="A30" s="15" t="s">
        <v>488</v>
      </c>
      <c r="D30" s="46">
        <f>'GenFund Statement'!D106*$K$3/D$3/1000000</f>
        <v>3821.6058567122245</v>
      </c>
      <c r="E30" s="46">
        <f>'GenFund Statement'!E106*$K$3/E$3/1000000</f>
        <v>3696.5555012243867</v>
      </c>
      <c r="F30" s="46">
        <f>'GenFund Statement'!F106*$K$3/F$3/1000000</f>
        <v>3690.6811859120385</v>
      </c>
      <c r="G30" s="46">
        <f>'GenFund Statement'!G106*$K$3/G$3/1000000</f>
        <v>3680.7548184948355</v>
      </c>
      <c r="H30" s="46">
        <f>'GenFund Statement'!H106*$K$3/H$3/1000000</f>
        <v>3718.805336940482</v>
      </c>
      <c r="I30" s="46">
        <f>'GenFund Statement'!I106*$K$3/I$3/1000000</f>
        <v>3656.0393261190356</v>
      </c>
      <c r="J30" s="46">
        <f>'GenFund Statement'!J106*$K$3/J$3/1000000</f>
        <v>3636.3947710000002</v>
      </c>
      <c r="K30" s="46">
        <f>'GenFund Statement'!K106*$K$3/K$3/1000000</f>
        <v>3663.4715470000001</v>
      </c>
      <c r="L30" s="46">
        <f>'GenFund Statement'!L106*$K$3/L$3/1000000</f>
        <v>3588.7860301604837</v>
      </c>
      <c r="M30" s="46">
        <f>'GenFund Statement'!M106*$K$3/M$3/1000000</f>
        <v>3519.5623093045092</v>
      </c>
      <c r="N30" s="46">
        <f>'GenFund Statement'!N106*$K$3/N$3/1000000</f>
        <v>3507.9163956456623</v>
      </c>
      <c r="O30" s="46">
        <f>'GenFund Statement'!O106*$K$3/O$3/1000000</f>
        <v>3591.2125060749067</v>
      </c>
      <c r="P30" s="46">
        <f>'GenFund Statement'!P106*$K$3/P$3/1000000</f>
        <v>3699.5715347919026</v>
      </c>
      <c r="Q30" s="46">
        <f>'GenFund Statement'!Q106*$K$3/Q$3/1000000</f>
        <v>3651.542496645844</v>
      </c>
      <c r="R30" s="46">
        <f>'GenFund Statement'!R106*$K$3/R$3/1000000</f>
        <v>3680.7187217696887</v>
      </c>
      <c r="S30" s="46">
        <f>'GenFund Statement'!S106*$K$3/S$3/1000000</f>
        <v>3656.6078374228196</v>
      </c>
      <c r="T30" s="46">
        <f>'GenFund Statement'!T106*$K$3/T$3/1000000</f>
        <v>3406.0431943402796</v>
      </c>
      <c r="U30" s="46">
        <f>'GenFund Statement'!U106*$K$3/U$3/1000000</f>
        <v>3258.2388148959717</v>
      </c>
      <c r="V30" s="46">
        <f>'GenFund Statement'!V106*$K$3/V$3/1000000</f>
        <v>3150.1406247099676</v>
      </c>
      <c r="W30" s="46">
        <f>'GenFund Statement'!W106*$K$3/W$3/1000000</f>
        <v>3019.4425236266375</v>
      </c>
      <c r="X30" s="46">
        <f>'GenFund Statement'!X106*$K$3/X$3/1000000</f>
        <v>2877.9680621536418</v>
      </c>
      <c r="Y30" s="46">
        <f>'GenFund Statement'!Y106*$K$3/Y$3/1000000</f>
        <v>2750.2924658515003</v>
      </c>
      <c r="Z30" s="46">
        <f>'GenFund Statement'!Z106*$K$3/Z$3/1000000</f>
        <v>2628.2363736852026</v>
      </c>
    </row>
    <row r="31" spans="1:27"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</row>
    <row r="32" spans="1:27" ht="18.75">
      <c r="A32" s="44" t="s">
        <v>520</v>
      </c>
      <c r="B32" s="41"/>
      <c r="C32" s="41"/>
      <c r="D32" s="45">
        <f>D18</f>
        <v>2017</v>
      </c>
      <c r="E32" s="45">
        <f>E18</f>
        <v>2016</v>
      </c>
      <c r="F32" s="45">
        <f>F18</f>
        <v>2016</v>
      </c>
      <c r="G32" s="45">
        <f>G18</f>
        <v>2015</v>
      </c>
      <c r="H32" s="45">
        <f>H18</f>
        <v>2015</v>
      </c>
      <c r="I32" s="45">
        <v>2015</v>
      </c>
      <c r="J32" s="45">
        <v>2014</v>
      </c>
      <c r="K32" s="45">
        <v>2014</v>
      </c>
      <c r="L32" s="45">
        <v>2013</v>
      </c>
      <c r="M32" s="45">
        <v>2012</v>
      </c>
      <c r="N32" s="45">
        <v>2011</v>
      </c>
      <c r="O32" s="45">
        <v>2010</v>
      </c>
      <c r="P32" s="45">
        <v>2009</v>
      </c>
      <c r="Q32" s="45">
        <v>2008</v>
      </c>
      <c r="R32" s="45">
        <v>2007</v>
      </c>
      <c r="S32" s="45">
        <v>2006</v>
      </c>
      <c r="T32" s="45">
        <v>2005</v>
      </c>
      <c r="U32" s="45">
        <v>2004</v>
      </c>
      <c r="V32" s="45">
        <v>2003</v>
      </c>
      <c r="W32" s="45">
        <v>2002</v>
      </c>
      <c r="X32" s="45">
        <v>2001</v>
      </c>
      <c r="Y32" s="45">
        <v>2000</v>
      </c>
      <c r="Z32" s="45">
        <v>1999</v>
      </c>
    </row>
    <row r="33" spans="1:26" ht="18.75">
      <c r="A33" s="41" t="s">
        <v>522</v>
      </c>
      <c r="B33" s="41"/>
      <c r="C33" s="41"/>
      <c r="D33" s="41"/>
      <c r="E33" s="41"/>
    </row>
    <row r="34" spans="1:26">
      <c r="A34" s="81" t="str">
        <f>'Detailed Expenditures'!A6</f>
        <v>Legislative-Executive Functions / Central Services</v>
      </c>
      <c r="B34" s="81"/>
      <c r="C34" s="81"/>
      <c r="D34" s="79">
        <f>'Detailed Expenditures'!C22/1000000</f>
        <v>109.022234</v>
      </c>
      <c r="E34" s="79">
        <f>'Detailed Expenditures'!D22/1000000</f>
        <v>105.52952999999999</v>
      </c>
      <c r="F34" s="79">
        <f>'Detailed Expenditures'!E22/1000000</f>
        <v>105.19725800000001</v>
      </c>
      <c r="G34" s="79">
        <f>'Detailed Expenditures'!F22/1000000</f>
        <v>102.874796</v>
      </c>
      <c r="H34" s="79">
        <f>'Detailed Expenditures'!G22/1000000</f>
        <v>111.117383</v>
      </c>
      <c r="I34" s="79">
        <f>'Detailed Expenditures'!H22/1000000</f>
        <v>104.85948500000001</v>
      </c>
      <c r="J34" s="37">
        <f>'Detailed Expenditures'!I22/1000000</f>
        <v>99.848181999999994</v>
      </c>
      <c r="K34" s="37">
        <f>'Detailed Expenditures'!J22/1000000</f>
        <v>109.751124</v>
      </c>
      <c r="L34" s="37">
        <f>'Detailed Expenditures'!K22/1000000</f>
        <v>97.974103999999997</v>
      </c>
      <c r="M34" s="37">
        <f>'Detailed Expenditures'!L22/1000000</f>
        <v>98.983821000000006</v>
      </c>
      <c r="N34" s="37">
        <f>'Detailed Expenditures'!M22/1000000</f>
        <v>92.913452000000007</v>
      </c>
      <c r="O34" s="37">
        <f>'Detailed Expenditures'!N22/1000000</f>
        <v>91.994293999999996</v>
      </c>
      <c r="P34" s="37">
        <f>'Detailed Expenditures'!O22/1000000</f>
        <v>101.90329300000001</v>
      </c>
      <c r="Q34" s="37">
        <f>'Detailed Expenditures'!P22/1000000</f>
        <v>101.499927</v>
      </c>
      <c r="R34" s="37">
        <f>'Detailed Expenditures'!Q22/1000000</f>
        <v>94.207937000000001</v>
      </c>
      <c r="S34" s="37">
        <f>'Detailed Expenditures'!R22/1000000</f>
        <v>90.528886999999997</v>
      </c>
      <c r="T34" s="37">
        <f>'Detailed Expenditures'!S22/1000000</f>
        <v>87.627412000000007</v>
      </c>
      <c r="U34" s="37">
        <f>'Detailed Expenditures'!T22/1000000</f>
        <v>84.277955000000006</v>
      </c>
      <c r="V34" s="37">
        <f>'Detailed Expenditures'!U22/1000000</f>
        <v>79.472036000000003</v>
      </c>
      <c r="W34" s="37">
        <f>'Detailed Expenditures'!V22/1000000</f>
        <v>76.761412000000007</v>
      </c>
      <c r="X34" s="37">
        <f>'Detailed Expenditures'!W22/1000000</f>
        <v>71.522746999999995</v>
      </c>
      <c r="Y34" s="37">
        <f>'Detailed Expenditures'!X22/1000000</f>
        <v>65.191175999999999</v>
      </c>
      <c r="Z34" s="37"/>
    </row>
    <row r="35" spans="1:26">
      <c r="A35" s="81" t="str">
        <f>'Detailed Expenditures'!A23</f>
        <v>Judicial Administration</v>
      </c>
      <c r="B35" s="81"/>
      <c r="C35" s="81"/>
      <c r="D35" s="79">
        <f>'Detailed Expenditures'!C23/1000000</f>
        <v>0</v>
      </c>
      <c r="E35" s="79">
        <f>'Detailed Expenditures'!D23/1000000</f>
        <v>0</v>
      </c>
      <c r="F35" s="79">
        <f>'Detailed Expenditures'!E23/1000000</f>
        <v>0</v>
      </c>
      <c r="G35" s="79">
        <f>'Detailed Expenditures'!F23/1000000</f>
        <v>0</v>
      </c>
      <c r="H35" s="79">
        <f>'Detailed Expenditures'!G23/1000000</f>
        <v>0</v>
      </c>
      <c r="I35" s="79">
        <f>'Detailed Expenditures'!H23/1000000</f>
        <v>0</v>
      </c>
      <c r="J35" s="37">
        <f>'Detailed Expenditures'!I23/1000000</f>
        <v>0</v>
      </c>
      <c r="K35" s="37">
        <f>'Detailed Expenditures'!J23/1000000</f>
        <v>0</v>
      </c>
      <c r="L35" s="37">
        <f>'Detailed Expenditures'!K23/1000000</f>
        <v>0</v>
      </c>
      <c r="M35" s="37">
        <f>'Detailed Expenditures'!L23/1000000</f>
        <v>0</v>
      </c>
      <c r="N35" s="37">
        <f>'Detailed Expenditures'!M23/1000000</f>
        <v>0</v>
      </c>
      <c r="O35" s="37">
        <f>'Detailed Expenditures'!N23/1000000</f>
        <v>0</v>
      </c>
      <c r="P35" s="37">
        <f>'Detailed Expenditures'!O23/1000000</f>
        <v>0</v>
      </c>
      <c r="Q35" s="37">
        <f>'Detailed Expenditures'!P23/1000000</f>
        <v>0</v>
      </c>
      <c r="R35" s="37">
        <f>'Detailed Expenditures'!Q23/1000000</f>
        <v>0</v>
      </c>
      <c r="S35" s="37">
        <f>'Detailed Expenditures'!R23/1000000</f>
        <v>0</v>
      </c>
      <c r="T35" s="37">
        <f>'Detailed Expenditures'!S23/1000000</f>
        <v>0</v>
      </c>
      <c r="U35" s="37">
        <f>'Detailed Expenditures'!T23/1000000</f>
        <v>0</v>
      </c>
      <c r="V35" s="37">
        <f>'Detailed Expenditures'!U23/1000000</f>
        <v>0</v>
      </c>
      <c r="W35" s="37">
        <f>'Detailed Expenditures'!V23/1000000</f>
        <v>0</v>
      </c>
      <c r="X35" s="37">
        <f>'Detailed Expenditures'!W23/1000000</f>
        <v>0</v>
      </c>
      <c r="Y35" s="37">
        <f>'Detailed Expenditures'!X23/1000000</f>
        <v>0</v>
      </c>
      <c r="Z35" s="37"/>
    </row>
    <row r="36" spans="1:26">
      <c r="A36" s="81" t="str">
        <f>'Detailed Expenditures'!A29</f>
        <v>Public Safety</v>
      </c>
      <c r="B36" s="81"/>
      <c r="C36" s="81"/>
      <c r="D36" s="79">
        <f>'Detailed Expenditures'!C24/1000000</f>
        <v>11.137339000000001</v>
      </c>
      <c r="E36" s="79">
        <f>'Detailed Expenditures'!D24/1000000</f>
        <v>10.837645</v>
      </c>
      <c r="F36" s="79">
        <f>'Detailed Expenditures'!E24/1000000</f>
        <v>10.815166</v>
      </c>
      <c r="G36" s="79">
        <f>'Detailed Expenditures'!F24/1000000</f>
        <v>10.570641999999999</v>
      </c>
      <c r="H36" s="79">
        <f>'Detailed Expenditures'!G24/1000000</f>
        <v>10.735872000000001</v>
      </c>
      <c r="I36" s="79">
        <f>'Detailed Expenditures'!H24/1000000</f>
        <v>10.655801</v>
      </c>
      <c r="J36" s="37">
        <f>'Detailed Expenditures'!I24/1000000</f>
        <v>10.526463</v>
      </c>
      <c r="K36" s="37">
        <f>'Detailed Expenditures'!J24/1000000</f>
        <v>10.638203000000001</v>
      </c>
      <c r="L36" s="37">
        <f>'Detailed Expenditures'!K24/1000000</f>
        <v>10.318566000000001</v>
      </c>
      <c r="M36" s="37">
        <f>'Detailed Expenditures'!L24/1000000</f>
        <v>9.984864</v>
      </c>
      <c r="N36" s="37">
        <f>'Detailed Expenditures'!M24/1000000</f>
        <v>10.013163</v>
      </c>
      <c r="O36" s="37">
        <f>'Detailed Expenditures'!N24/1000000</f>
        <v>9.8559909999999995</v>
      </c>
      <c r="P36" s="37">
        <f>'Detailed Expenditures'!O24/1000000</f>
        <v>10.23423</v>
      </c>
      <c r="Q36" s="37">
        <f>'Detailed Expenditures'!P24/1000000</f>
        <v>10.259129</v>
      </c>
      <c r="R36" s="37">
        <f>'Detailed Expenditures'!Q24/1000000</f>
        <v>9.8505649999999996</v>
      </c>
      <c r="S36" s="37">
        <f>'Detailed Expenditures'!R24/1000000</f>
        <v>9.5569109999999995</v>
      </c>
      <c r="T36" s="37">
        <f>'Detailed Expenditures'!S24/1000000</f>
        <v>9.0739730000000005</v>
      </c>
      <c r="U36" s="37">
        <f>'Detailed Expenditures'!T24/1000000</f>
        <v>8.8177059999999994</v>
      </c>
      <c r="V36" s="37">
        <f>'Detailed Expenditures'!U24/1000000</f>
        <v>8.4237260000000003</v>
      </c>
      <c r="W36" s="37">
        <f>'Detailed Expenditures'!V24/1000000</f>
        <v>8.4704750000000004</v>
      </c>
      <c r="X36" s="37">
        <f>'Detailed Expenditures'!W24/1000000</f>
        <v>7.8741310000000002</v>
      </c>
      <c r="Y36" s="37">
        <f>'Detailed Expenditures'!X24/1000000</f>
        <v>7.5877850000000002</v>
      </c>
      <c r="Z36" s="37"/>
    </row>
    <row r="37" spans="1:26">
      <c r="A37" s="81" t="str">
        <f>'Detailed Expenditures'!A42</f>
        <v>Public Works</v>
      </c>
      <c r="B37" s="81"/>
      <c r="C37" s="81"/>
      <c r="D37" s="79">
        <f>'Detailed Expenditures'!C25/1000000</f>
        <v>3.84524</v>
      </c>
      <c r="E37" s="79">
        <f>'Detailed Expenditures'!D25/1000000</f>
        <v>3.7182550000000001</v>
      </c>
      <c r="F37" s="79">
        <f>'Detailed Expenditures'!E25/1000000</f>
        <v>3.7093950000000002</v>
      </c>
      <c r="G37" s="79">
        <f>'Detailed Expenditures'!F25/1000000</f>
        <v>3.3761049999999999</v>
      </c>
      <c r="H37" s="79">
        <f>'Detailed Expenditures'!G25/1000000</f>
        <v>3.533979</v>
      </c>
      <c r="I37" s="79">
        <f>'Detailed Expenditures'!H25/1000000</f>
        <v>3.5297000000000001</v>
      </c>
      <c r="J37" s="37">
        <f>'Detailed Expenditures'!I25/1000000</f>
        <v>2.7502059999999999</v>
      </c>
      <c r="K37" s="37">
        <f>'Detailed Expenditures'!J25/1000000</f>
        <v>2.7297509999999998</v>
      </c>
      <c r="L37" s="37">
        <f>'Detailed Expenditures'!K25/1000000</f>
        <v>2.6530860000000001</v>
      </c>
      <c r="M37" s="37">
        <f>'Detailed Expenditures'!L25/1000000</f>
        <v>2.5479639999999999</v>
      </c>
      <c r="N37" s="37">
        <f>'Detailed Expenditures'!M25/1000000</f>
        <v>2.4914779999999999</v>
      </c>
      <c r="O37" s="37">
        <f>'Detailed Expenditures'!N25/1000000</f>
        <v>2.5352389999999998</v>
      </c>
      <c r="P37" s="37">
        <f>'Detailed Expenditures'!O25/1000000</f>
        <v>2.5059939999999998</v>
      </c>
      <c r="Q37" s="37">
        <f>'Detailed Expenditures'!P25/1000000</f>
        <v>2.2891569999999999</v>
      </c>
      <c r="R37" s="37">
        <f>'Detailed Expenditures'!Q25/1000000</f>
        <v>1.977395</v>
      </c>
      <c r="S37" s="37">
        <f>'Detailed Expenditures'!R25/1000000</f>
        <v>1.897173</v>
      </c>
      <c r="T37" s="37">
        <f>'Detailed Expenditures'!S25/1000000</f>
        <v>1.8474170000000001</v>
      </c>
      <c r="U37" s="37">
        <f>'Detailed Expenditures'!T25/1000000</f>
        <v>1.7445729999999999</v>
      </c>
      <c r="V37" s="37">
        <f>'Detailed Expenditures'!U25/1000000</f>
        <v>1.6859729999999999</v>
      </c>
      <c r="W37" s="37">
        <f>'Detailed Expenditures'!V25/1000000</f>
        <v>1.5844579999999999</v>
      </c>
      <c r="X37" s="37">
        <f>'Detailed Expenditures'!W25/1000000</f>
        <v>1.5414969999999999</v>
      </c>
      <c r="Y37" s="37">
        <f>'Detailed Expenditures'!X25/1000000</f>
        <v>1.548233</v>
      </c>
      <c r="Z37" s="37"/>
    </row>
    <row r="38" spans="1:26">
      <c r="A38" s="81" t="str">
        <f>'Detailed Expenditures'!A52</f>
        <v>Health and Welfare</v>
      </c>
      <c r="B38" s="81"/>
      <c r="C38" s="81"/>
      <c r="D38" s="79">
        <f>'Detailed Expenditures'!C26/1000000</f>
        <v>2.4217620000000002</v>
      </c>
      <c r="E38" s="79">
        <f>'Detailed Expenditures'!D26/1000000</f>
        <v>2.3708450000000001</v>
      </c>
      <c r="F38" s="79">
        <f>'Detailed Expenditures'!E26/1000000</f>
        <v>2.2159049999999998</v>
      </c>
      <c r="G38" s="79">
        <f>'Detailed Expenditures'!F26/1000000</f>
        <v>2.0980029999999998</v>
      </c>
      <c r="H38" s="79">
        <f>'Detailed Expenditures'!G26/1000000</f>
        <v>2.3593120000000001</v>
      </c>
      <c r="I38" s="79">
        <f>'Detailed Expenditures'!H26/1000000</f>
        <v>2.2365309999999998</v>
      </c>
      <c r="J38" s="37">
        <f>'Detailed Expenditures'!I26/1000000</f>
        <v>2.0874700000000002</v>
      </c>
      <c r="K38" s="37">
        <f>'Detailed Expenditures'!J26/1000000</f>
        <v>2.2457609999999999</v>
      </c>
      <c r="L38" s="37">
        <f>'Detailed Expenditures'!K26/1000000</f>
        <v>2.0496569999999998</v>
      </c>
      <c r="M38" s="37">
        <f>'Detailed Expenditures'!L26/1000000</f>
        <v>2.1265170000000002</v>
      </c>
      <c r="N38" s="37">
        <f>'Detailed Expenditures'!M26/1000000</f>
        <v>2.1533169999999999</v>
      </c>
      <c r="O38" s="37">
        <f>'Detailed Expenditures'!N26/1000000</f>
        <v>2.322902</v>
      </c>
      <c r="P38" s="37">
        <f>'Detailed Expenditures'!O26/1000000</f>
        <v>2.407159</v>
      </c>
      <c r="Q38" s="37">
        <f>'Detailed Expenditures'!P26/1000000</f>
        <v>2.2691940000000002</v>
      </c>
      <c r="R38" s="37">
        <f>'Detailed Expenditures'!Q26/1000000</f>
        <v>2.1558410000000001</v>
      </c>
      <c r="S38" s="37">
        <f>'Detailed Expenditures'!R26/1000000</f>
        <v>2.0031050000000001</v>
      </c>
      <c r="T38" s="37">
        <f>'Detailed Expenditures'!S26/1000000</f>
        <v>1.7295510000000001</v>
      </c>
      <c r="U38" s="37">
        <f>'Detailed Expenditures'!T26/1000000</f>
        <v>1.5304599999999999</v>
      </c>
      <c r="V38" s="37">
        <f>'Detailed Expenditures'!U26/1000000</f>
        <v>1.573296</v>
      </c>
      <c r="W38" s="37">
        <f>'Detailed Expenditures'!V26/1000000</f>
        <v>1.55738</v>
      </c>
      <c r="X38" s="37">
        <f>'Detailed Expenditures'!W26/1000000</f>
        <v>1.525163</v>
      </c>
      <c r="Y38" s="37">
        <f>'Detailed Expenditures'!X26/1000000</f>
        <v>1.5386690000000001</v>
      </c>
      <c r="Z38" s="37"/>
    </row>
    <row r="39" spans="1:26">
      <c r="A39" s="81" t="str">
        <f>'Detailed Expenditures'!A62</f>
        <v>Parks and Libraries</v>
      </c>
      <c r="B39" s="81"/>
      <c r="C39" s="81"/>
      <c r="D39" s="79">
        <f>'Detailed Expenditures'!C27/1000000</f>
        <v>19.029350000000001</v>
      </c>
      <c r="E39" s="79">
        <f>'Detailed Expenditures'!D27/1000000</f>
        <v>18.583127999999999</v>
      </c>
      <c r="F39" s="79">
        <f>'Detailed Expenditures'!E27/1000000</f>
        <v>18.546786000000001</v>
      </c>
      <c r="G39" s="79">
        <f>'Detailed Expenditures'!F27/1000000</f>
        <v>20.079843</v>
      </c>
      <c r="H39" s="79">
        <f>'Detailed Expenditures'!G27/1000000</f>
        <v>18.822320999999999</v>
      </c>
      <c r="I39" s="79">
        <f>'Detailed Expenditures'!H27/1000000</f>
        <v>18.211538999999998</v>
      </c>
      <c r="J39" s="37">
        <f>'Detailed Expenditures'!I27/1000000</f>
        <v>19.029729</v>
      </c>
      <c r="K39" s="37">
        <f>'Detailed Expenditures'!J27/1000000</f>
        <v>18.619665000000001</v>
      </c>
      <c r="L39" s="37">
        <f>'Detailed Expenditures'!K27/1000000</f>
        <v>18.430508</v>
      </c>
      <c r="M39" s="37">
        <f>'Detailed Expenditures'!L27/1000000</f>
        <v>16.356553999999999</v>
      </c>
      <c r="N39" s="37">
        <f>'Detailed Expenditures'!M27/1000000</f>
        <v>16.866574</v>
      </c>
      <c r="O39" s="37">
        <f>'Detailed Expenditures'!N27/1000000</f>
        <v>16.462844</v>
      </c>
      <c r="P39" s="37">
        <f>'Detailed Expenditures'!O27/1000000</f>
        <v>18.324915000000001</v>
      </c>
      <c r="Q39" s="37">
        <f>'Detailed Expenditures'!P27/1000000</f>
        <v>19.236208000000001</v>
      </c>
      <c r="R39" s="37">
        <f>'Detailed Expenditures'!Q27/1000000</f>
        <v>17.836981000000002</v>
      </c>
      <c r="S39" s="37">
        <f>'Detailed Expenditures'!R27/1000000</f>
        <v>16.381157999999999</v>
      </c>
      <c r="T39" s="37">
        <f>'Detailed Expenditures'!S27/1000000</f>
        <v>14.891116999999999</v>
      </c>
      <c r="U39" s="37">
        <f>'Detailed Expenditures'!T27/1000000</f>
        <v>14.072792</v>
      </c>
      <c r="V39" s="37">
        <f>'Detailed Expenditures'!U27/1000000</f>
        <v>15.219593</v>
      </c>
      <c r="W39" s="37">
        <f>'Detailed Expenditures'!V27/1000000</f>
        <v>14.084745</v>
      </c>
      <c r="X39" s="37">
        <f>'Detailed Expenditures'!W27/1000000</f>
        <v>12.575532000000001</v>
      </c>
      <c r="Y39" s="37">
        <f>'Detailed Expenditures'!X27/1000000</f>
        <v>10.215840999999999</v>
      </c>
      <c r="Z39" s="37"/>
    </row>
    <row r="40" spans="1:26">
      <c r="A40" s="81" t="str">
        <f>'Detailed Expenditures'!A68</f>
        <v>Community Development</v>
      </c>
      <c r="B40" s="81"/>
      <c r="C40" s="81"/>
      <c r="D40" s="79">
        <f>'Detailed Expenditures'!C28/1000000</f>
        <v>36.433691000000003</v>
      </c>
      <c r="E40" s="79">
        <f>'Detailed Expenditures'!D28/1000000</f>
        <v>35.509872999999999</v>
      </c>
      <c r="F40" s="79">
        <f>'Detailed Expenditures'!E28/1000000</f>
        <v>35.287252000000002</v>
      </c>
      <c r="G40" s="79">
        <f>'Detailed Expenditures'!F28/1000000</f>
        <v>36.124592999999997</v>
      </c>
      <c r="H40" s="79">
        <f>'Detailed Expenditures'!G28/1000000</f>
        <v>35.451484000000001</v>
      </c>
      <c r="I40" s="79">
        <f>'Detailed Expenditures'!H28/1000000</f>
        <v>34.633571000000003</v>
      </c>
      <c r="J40" s="37">
        <f>'Detailed Expenditures'!I28/1000000</f>
        <v>34.393867999999998</v>
      </c>
      <c r="K40" s="37">
        <f>'Detailed Expenditures'!J28/1000000</f>
        <v>34.233379999999997</v>
      </c>
      <c r="L40" s="37">
        <f>'Detailed Expenditures'!K28/1000000</f>
        <v>33.451816999999998</v>
      </c>
      <c r="M40" s="37">
        <f>'Detailed Expenditures'!L28/1000000</f>
        <v>31.015899000000001</v>
      </c>
      <c r="N40" s="37">
        <f>'Detailed Expenditures'!M28/1000000</f>
        <v>31.524532000000001</v>
      </c>
      <c r="O40" s="37">
        <f>'Detailed Expenditures'!N28/1000000</f>
        <v>31.176976</v>
      </c>
      <c r="P40" s="37">
        <f>'Detailed Expenditures'!O28/1000000</f>
        <v>33.472298000000002</v>
      </c>
      <c r="Q40" s="37">
        <f>'Detailed Expenditures'!P28/1000000</f>
        <v>34.053688000000001</v>
      </c>
      <c r="R40" s="37">
        <f>'Detailed Expenditures'!Q28/1000000</f>
        <v>31.820782000000001</v>
      </c>
      <c r="S40" s="37">
        <f>'Detailed Expenditures'!R28/1000000</f>
        <v>29.838346999999999</v>
      </c>
      <c r="T40" s="37">
        <f>'Detailed Expenditures'!S28/1000000</f>
        <v>27.542058000000001</v>
      </c>
      <c r="U40" s="37">
        <f>'Detailed Expenditures'!T28/1000000</f>
        <v>26.165531000000001</v>
      </c>
      <c r="V40" s="37">
        <f>'Detailed Expenditures'!U28/1000000</f>
        <v>26.902588000000002</v>
      </c>
      <c r="W40" s="37">
        <f>'Detailed Expenditures'!V28/1000000</f>
        <v>25.697057999999998</v>
      </c>
      <c r="X40" s="37">
        <f>'Detailed Expenditures'!W28/1000000</f>
        <v>23.516323</v>
      </c>
      <c r="Y40" s="37">
        <f>'Detailed Expenditures'!X28/1000000</f>
        <v>20.890528</v>
      </c>
      <c r="Z40" s="37"/>
    </row>
    <row r="41" spans="1:26">
      <c r="A41" s="81" t="str">
        <f>'Detailed Expenditures'!A79 &amp; " (includes benefits)"</f>
        <v>Nondepartmental (includes benefits)</v>
      </c>
      <c r="B41" s="81"/>
      <c r="C41" s="81"/>
      <c r="D41" s="79">
        <f>'Detailed Expenditures'!C29/1000000</f>
        <v>0</v>
      </c>
      <c r="E41" s="79">
        <f>'Detailed Expenditures'!D29/1000000</f>
        <v>0</v>
      </c>
      <c r="F41" s="79">
        <f>'Detailed Expenditures'!E29/1000000</f>
        <v>0</v>
      </c>
      <c r="G41" s="79">
        <f>'Detailed Expenditures'!F29/1000000</f>
        <v>0</v>
      </c>
      <c r="H41" s="79">
        <f>'Detailed Expenditures'!G29/1000000</f>
        <v>0</v>
      </c>
      <c r="I41" s="79">
        <f>'Detailed Expenditures'!H29/1000000</f>
        <v>0</v>
      </c>
      <c r="J41" s="37">
        <f>'Detailed Expenditures'!I29/1000000</f>
        <v>0</v>
      </c>
      <c r="K41" s="37">
        <f>'Detailed Expenditures'!J29/1000000</f>
        <v>0</v>
      </c>
      <c r="L41" s="37">
        <f>'Detailed Expenditures'!K29/1000000</f>
        <v>0</v>
      </c>
      <c r="M41" s="37">
        <f>'Detailed Expenditures'!L29/1000000</f>
        <v>0</v>
      </c>
      <c r="N41" s="37">
        <f>'Detailed Expenditures'!M29/1000000</f>
        <v>0</v>
      </c>
      <c r="O41" s="37">
        <f>'Detailed Expenditures'!N29/1000000</f>
        <v>0</v>
      </c>
      <c r="P41" s="37">
        <f>'Detailed Expenditures'!O29/1000000</f>
        <v>0</v>
      </c>
      <c r="Q41" s="37">
        <f>'Detailed Expenditures'!P29/1000000</f>
        <v>0</v>
      </c>
      <c r="R41" s="37">
        <f>'Detailed Expenditures'!Q29/1000000</f>
        <v>0</v>
      </c>
      <c r="S41" s="37">
        <f>'Detailed Expenditures'!R29/1000000</f>
        <v>0</v>
      </c>
      <c r="T41" s="37">
        <f>'Detailed Expenditures'!S29/1000000</f>
        <v>0</v>
      </c>
      <c r="U41" s="37">
        <f>'Detailed Expenditures'!T29/1000000</f>
        <v>0</v>
      </c>
      <c r="V41" s="37">
        <f>'Detailed Expenditures'!U29/1000000</f>
        <v>0</v>
      </c>
      <c r="W41" s="37">
        <f>'Detailed Expenditures'!V29/1000000</f>
        <v>0</v>
      </c>
      <c r="X41" s="37">
        <f>'Detailed Expenditures'!W29/1000000</f>
        <v>0</v>
      </c>
      <c r="Y41" s="37">
        <f>'Detailed Expenditures'!X29/1000000</f>
        <v>0</v>
      </c>
      <c r="Z41" s="37"/>
    </row>
    <row r="42" spans="1:26">
      <c r="A42" s="81" t="s">
        <v>507</v>
      </c>
      <c r="B42" s="81"/>
      <c r="C42" s="81"/>
      <c r="D42" s="79">
        <f>'Detailed Expenditures'!C30/1000000</f>
        <v>0.80830500000000005</v>
      </c>
      <c r="E42" s="79">
        <f>'Detailed Expenditures'!D30/1000000</f>
        <v>0.69817700000000005</v>
      </c>
      <c r="F42" s="79">
        <f>'Detailed Expenditures'!E30/1000000</f>
        <v>0.69675399999999998</v>
      </c>
      <c r="G42" s="79">
        <f>'Detailed Expenditures'!F30/1000000</f>
        <v>0.75686900000000001</v>
      </c>
      <c r="H42" s="79">
        <f>'Detailed Expenditures'!G30/1000000</f>
        <v>0.676427</v>
      </c>
      <c r="I42" s="79">
        <f>'Detailed Expenditures'!H30/1000000</f>
        <v>0.676427</v>
      </c>
      <c r="J42" s="37">
        <f>'Detailed Expenditures'!I30/1000000</f>
        <v>0.74412599999999995</v>
      </c>
      <c r="K42" s="37">
        <f>'Detailed Expenditures'!J30/1000000</f>
        <v>0.672678</v>
      </c>
      <c r="L42" s="37">
        <f>'Detailed Expenditures'!K30/1000000</f>
        <v>0.66085300000000002</v>
      </c>
      <c r="M42" s="37">
        <f>'Detailed Expenditures'!L30/1000000</f>
        <v>0.792319</v>
      </c>
      <c r="N42" s="37">
        <f>'Detailed Expenditures'!M30/1000000</f>
        <v>0.85698099999999999</v>
      </c>
      <c r="O42" s="37">
        <f>'Detailed Expenditures'!N30/1000000</f>
        <v>0.92866000000000004</v>
      </c>
      <c r="P42" s="37">
        <f>'Detailed Expenditures'!O30/1000000</f>
        <v>1.013722</v>
      </c>
      <c r="Q42" s="37">
        <f>'Detailed Expenditures'!P30/1000000</f>
        <v>1.056325</v>
      </c>
      <c r="R42" s="37">
        <f>'Detailed Expenditures'!Q30/1000000</f>
        <v>0.96733400000000003</v>
      </c>
      <c r="S42" s="37">
        <f>'Detailed Expenditures'!R30/1000000</f>
        <v>1.036111</v>
      </c>
      <c r="T42" s="37">
        <f>'Detailed Expenditures'!S30/1000000</f>
        <v>0.82083399999999995</v>
      </c>
      <c r="U42" s="37">
        <f>'Detailed Expenditures'!T30/1000000</f>
        <v>0.89998199999999995</v>
      </c>
      <c r="V42" s="37">
        <f>'Detailed Expenditures'!U30/1000000</f>
        <v>1.0323260000000001</v>
      </c>
      <c r="W42" s="37">
        <f>'Detailed Expenditures'!V30/1000000</f>
        <v>0.93842499999999995</v>
      </c>
      <c r="X42" s="37">
        <f>'Detailed Expenditures'!W30/1000000</f>
        <v>0.87807299999999999</v>
      </c>
      <c r="Y42" s="37">
        <f>'Detailed Expenditures'!X30/1000000</f>
        <v>0.95927399999999996</v>
      </c>
      <c r="Z42" s="37"/>
    </row>
    <row r="43" spans="1:26">
      <c r="A43" s="81" t="s">
        <v>509</v>
      </c>
      <c r="B43" s="81"/>
      <c r="C43" s="81"/>
      <c r="D43" s="79">
        <f>'Detailed Expenditures'!C31/1000000</f>
        <v>10.353488</v>
      </c>
      <c r="E43" s="79">
        <f>'Detailed Expenditures'!D31/1000000</f>
        <v>10.104746</v>
      </c>
      <c r="F43" s="79">
        <f>'Detailed Expenditures'!E31/1000000</f>
        <v>10.08347</v>
      </c>
      <c r="G43" s="79">
        <f>'Detailed Expenditures'!F31/1000000</f>
        <v>9.8181700000000003</v>
      </c>
      <c r="H43" s="79">
        <f>'Detailed Expenditures'!G31/1000000</f>
        <v>9.627122</v>
      </c>
      <c r="I43" s="79">
        <f>'Detailed Expenditures'!H31/1000000</f>
        <v>9.6035029999999999</v>
      </c>
      <c r="J43" s="37">
        <f>'Detailed Expenditures'!I31/1000000</f>
        <v>9.80002</v>
      </c>
      <c r="K43" s="37">
        <f>'Detailed Expenditures'!J31/1000000</f>
        <v>8.2903140000000004</v>
      </c>
      <c r="L43" s="37">
        <f>'Detailed Expenditures'!K31/1000000</f>
        <v>8.8561940000000003</v>
      </c>
      <c r="M43" s="37">
        <f>'Detailed Expenditures'!L31/1000000</f>
        <v>9.0432229999999993</v>
      </c>
      <c r="N43" s="37">
        <f>'Detailed Expenditures'!M31/1000000</f>
        <v>8.3468079999999993</v>
      </c>
      <c r="O43" s="37">
        <f>'Detailed Expenditures'!N31/1000000</f>
        <v>8.5691810000000004</v>
      </c>
      <c r="P43" s="37">
        <f>'Detailed Expenditures'!O31/1000000</f>
        <v>10.014811999999999</v>
      </c>
      <c r="Q43" s="37">
        <f>'Detailed Expenditures'!P31/1000000</f>
        <v>10.845421</v>
      </c>
      <c r="R43" s="37">
        <f>'Detailed Expenditures'!Q31/1000000</f>
        <v>10.515739</v>
      </c>
      <c r="S43" s="37">
        <f>'Detailed Expenditures'!R31/1000000</f>
        <v>10.120540999999999</v>
      </c>
      <c r="T43" s="37">
        <f>'Detailed Expenditures'!S31/1000000</f>
        <v>9.6495289999999994</v>
      </c>
      <c r="U43" s="37">
        <f>'Detailed Expenditures'!T31/1000000</f>
        <v>9.6386810000000001</v>
      </c>
      <c r="V43" s="37">
        <f>'Detailed Expenditures'!U31/1000000</f>
        <v>9.8037410000000005</v>
      </c>
      <c r="W43" s="37">
        <f>'Detailed Expenditures'!V31/1000000</f>
        <v>9.3781940000000006</v>
      </c>
      <c r="X43" s="37">
        <f>'Detailed Expenditures'!W31/1000000</f>
        <v>9.0107029999999995</v>
      </c>
      <c r="Y43" s="37">
        <f>'Detailed Expenditures'!X31/1000000</f>
        <v>0</v>
      </c>
      <c r="Z43" s="37"/>
    </row>
    <row r="44" spans="1:26">
      <c r="A44" s="81" t="s">
        <v>506</v>
      </c>
      <c r="B44" s="81"/>
      <c r="C44" s="81"/>
      <c r="D44" s="79">
        <f>'Detailed Expenditures'!C32/1000000</f>
        <v>0</v>
      </c>
      <c r="E44" s="79">
        <f>'Detailed Expenditures'!D32/1000000</f>
        <v>0</v>
      </c>
      <c r="F44" s="79">
        <f>'Detailed Expenditures'!E32/1000000</f>
        <v>0</v>
      </c>
      <c r="G44" s="79">
        <f>'Detailed Expenditures'!F32/1000000</f>
        <v>0</v>
      </c>
      <c r="H44" s="79">
        <f>'Detailed Expenditures'!G32/1000000</f>
        <v>0</v>
      </c>
      <c r="I44" s="79">
        <f>'Detailed Expenditures'!H32/1000000</f>
        <v>0</v>
      </c>
      <c r="J44" s="37">
        <f>'Detailed Expenditures'!I32/1000000</f>
        <v>0</v>
      </c>
      <c r="K44" s="37">
        <f>'Detailed Expenditures'!J32/1000000</f>
        <v>0</v>
      </c>
      <c r="L44" s="37">
        <f>'Detailed Expenditures'!K32/1000000</f>
        <v>0</v>
      </c>
      <c r="M44" s="37">
        <f>'Detailed Expenditures'!L32/1000000</f>
        <v>0</v>
      </c>
      <c r="N44" s="37">
        <f>'Detailed Expenditures'!M32/1000000</f>
        <v>0</v>
      </c>
      <c r="O44" s="37">
        <f>'Detailed Expenditures'!N32/1000000</f>
        <v>0</v>
      </c>
      <c r="P44" s="37">
        <f>'Detailed Expenditures'!O32/1000000</f>
        <v>0</v>
      </c>
      <c r="Q44" s="37">
        <f>'Detailed Expenditures'!P32/1000000</f>
        <v>0</v>
      </c>
      <c r="R44" s="37">
        <f>'Detailed Expenditures'!Q32/1000000</f>
        <v>0</v>
      </c>
      <c r="S44" s="37">
        <f>'Detailed Expenditures'!R32/1000000</f>
        <v>0</v>
      </c>
      <c r="T44" s="37">
        <f>'Detailed Expenditures'!S32/1000000</f>
        <v>0</v>
      </c>
      <c r="U44" s="37">
        <f>'Detailed Expenditures'!T32/1000000</f>
        <v>0</v>
      </c>
      <c r="V44" s="37">
        <f>'Detailed Expenditures'!U32/1000000</f>
        <v>0</v>
      </c>
      <c r="W44" s="37">
        <f>'Detailed Expenditures'!V32/1000000</f>
        <v>0</v>
      </c>
      <c r="X44" s="37">
        <f>'Detailed Expenditures'!W32/1000000</f>
        <v>0</v>
      </c>
      <c r="Y44" s="37">
        <f>'Detailed Expenditures'!X32/1000000</f>
        <v>8.7630090000000003</v>
      </c>
      <c r="Z44" s="37"/>
    </row>
    <row r="45" spans="1:26">
      <c r="A45" s="81" t="s">
        <v>508</v>
      </c>
      <c r="B45" s="81"/>
      <c r="C45" s="81"/>
      <c r="D45" s="79">
        <f>'Detailed Expenditures'!C33/1000000</f>
        <v>22.605899000000001</v>
      </c>
      <c r="E45" s="79">
        <f>'Detailed Expenditures'!D33/1000000</f>
        <v>22.589661</v>
      </c>
      <c r="F45" s="79">
        <f>'Detailed Expenditures'!E33/1000000</f>
        <v>22.539773</v>
      </c>
      <c r="G45" s="79">
        <f>'Detailed Expenditures'!F33/1000000</f>
        <v>21.957740000000001</v>
      </c>
      <c r="H45" s="79">
        <f>'Detailed Expenditures'!G33/1000000</f>
        <v>22.207704</v>
      </c>
      <c r="I45" s="79">
        <f>'Detailed Expenditures'!H33/1000000</f>
        <v>21.540589000000001</v>
      </c>
      <c r="J45" s="37">
        <f>'Detailed Expenditures'!I33/1000000</f>
        <v>20.636623</v>
      </c>
      <c r="K45" s="37">
        <f>'Detailed Expenditures'!J33/1000000</f>
        <v>21.437003000000001</v>
      </c>
      <c r="L45" s="37">
        <f>'Detailed Expenditures'!K33/1000000</f>
        <v>20.717288</v>
      </c>
      <c r="M45" s="37">
        <f>'Detailed Expenditures'!L33/1000000</f>
        <v>20.418482000000001</v>
      </c>
      <c r="N45" s="37">
        <f>'Detailed Expenditures'!M33/1000000</f>
        <v>20.095469999999999</v>
      </c>
      <c r="O45" s="37">
        <f>'Detailed Expenditures'!N33/1000000</f>
        <v>20.313862</v>
      </c>
      <c r="P45" s="37">
        <f>'Detailed Expenditures'!O33/1000000</f>
        <v>21.123616999999999</v>
      </c>
      <c r="Q45" s="37">
        <f>'Detailed Expenditures'!P33/1000000</f>
        <v>21.187221000000001</v>
      </c>
      <c r="R45" s="37">
        <f>'Detailed Expenditures'!Q33/1000000</f>
        <v>20.368905000000002</v>
      </c>
      <c r="S45" s="37">
        <f>'Detailed Expenditures'!R33/1000000</f>
        <v>18.832843</v>
      </c>
      <c r="T45" s="37">
        <f>'Detailed Expenditures'!S33/1000000</f>
        <v>17.936851999999998</v>
      </c>
      <c r="U45" s="37">
        <f>'Detailed Expenditures'!T33/1000000</f>
        <v>17.488582000000001</v>
      </c>
      <c r="V45" s="37">
        <f>'Detailed Expenditures'!U33/1000000</f>
        <v>16.943155000000001</v>
      </c>
      <c r="W45" s="37">
        <f>'Detailed Expenditures'!V33/1000000</f>
        <v>16.853945</v>
      </c>
      <c r="X45" s="37">
        <f>'Detailed Expenditures'!W33/1000000</f>
        <v>16.078098000000001</v>
      </c>
      <c r="Y45" s="37">
        <f>'Detailed Expenditures'!X33/1000000</f>
        <v>14.569945000000001</v>
      </c>
      <c r="Z45" s="37"/>
    </row>
    <row r="46" spans="1:26">
      <c r="A46" s="81" t="s">
        <v>505</v>
      </c>
      <c r="B46" s="81"/>
      <c r="C46" s="81"/>
      <c r="D46" s="79">
        <f>'Detailed Expenditures'!C34/1000000</f>
        <v>0</v>
      </c>
      <c r="E46" s="79">
        <f>'Detailed Expenditures'!D34/1000000</f>
        <v>0</v>
      </c>
      <c r="F46" s="79">
        <f>'Detailed Expenditures'!E34/1000000</f>
        <v>0</v>
      </c>
      <c r="G46" s="79">
        <f>'Detailed Expenditures'!F34/1000000</f>
        <v>0</v>
      </c>
      <c r="H46" s="79">
        <f>'Detailed Expenditures'!G34/1000000</f>
        <v>0</v>
      </c>
      <c r="I46" s="79">
        <f>'Detailed Expenditures'!H34/1000000</f>
        <v>0</v>
      </c>
      <c r="J46" s="37">
        <f>'Detailed Expenditures'!I34/1000000</f>
        <v>0</v>
      </c>
      <c r="K46" s="37">
        <f>'Detailed Expenditures'!J34/1000000</f>
        <v>0</v>
      </c>
      <c r="L46" s="37">
        <f>'Detailed Expenditures'!K34/1000000</f>
        <v>0</v>
      </c>
      <c r="M46" s="37">
        <f>'Detailed Expenditures'!L34/1000000</f>
        <v>0</v>
      </c>
      <c r="N46" s="37">
        <f>'Detailed Expenditures'!M34/1000000</f>
        <v>0</v>
      </c>
      <c r="O46" s="37">
        <f>'Detailed Expenditures'!N34/1000000</f>
        <v>0</v>
      </c>
      <c r="P46" s="37">
        <f>'Detailed Expenditures'!O34/1000000</f>
        <v>0</v>
      </c>
      <c r="Q46" s="37">
        <f>'Detailed Expenditures'!P34/1000000</f>
        <v>0</v>
      </c>
      <c r="R46" s="37">
        <f>'Detailed Expenditures'!Q34/1000000</f>
        <v>0</v>
      </c>
      <c r="S46" s="37">
        <f>'Detailed Expenditures'!R34/1000000</f>
        <v>0</v>
      </c>
      <c r="T46" s="37">
        <f>'Detailed Expenditures'!S34/1000000</f>
        <v>0</v>
      </c>
      <c r="U46" s="37">
        <f>'Detailed Expenditures'!T34/1000000</f>
        <v>0</v>
      </c>
      <c r="V46" s="37">
        <f>'Detailed Expenditures'!U34/1000000</f>
        <v>0</v>
      </c>
      <c r="W46" s="37">
        <f>'Detailed Expenditures'!V34/1000000</f>
        <v>0</v>
      </c>
      <c r="X46" s="37">
        <f>'Detailed Expenditures'!W34/1000000</f>
        <v>0</v>
      </c>
      <c r="Y46" s="37">
        <f>'Detailed Expenditures'!X34/1000000</f>
        <v>0.120225</v>
      </c>
      <c r="Z46" s="37"/>
    </row>
    <row r="47" spans="1:26">
      <c r="A47" s="81" t="s">
        <v>503</v>
      </c>
      <c r="B47" s="81"/>
      <c r="C47" s="81"/>
      <c r="D47" s="79">
        <f t="shared" ref="D47" si="2">SUM(D34:D46)</f>
        <v>215.657308</v>
      </c>
      <c r="E47" s="79">
        <f t="shared" ref="E47" si="3">SUM(E34:E46)</f>
        <v>209.94185999999999</v>
      </c>
      <c r="F47" s="79">
        <f t="shared" ref="F47" si="4">SUM(F34:F46)</f>
        <v>209.09175900000002</v>
      </c>
      <c r="G47" s="79">
        <f t="shared" ref="G47" si="5">SUM(G34:G46)</f>
        <v>207.65676100000002</v>
      </c>
      <c r="H47" s="79">
        <f t="shared" ref="H47" si="6">SUM(H34:H46)</f>
        <v>214.53160399999999</v>
      </c>
      <c r="I47" s="79">
        <f t="shared" ref="I47:J47" si="7">SUM(I34:I46)</f>
        <v>205.94714599999998</v>
      </c>
      <c r="J47" s="46">
        <f t="shared" si="7"/>
        <v>199.81668699999994</v>
      </c>
      <c r="K47" s="46">
        <f t="shared" ref="K47:Y47" si="8">SUM(K34:K46)</f>
        <v>208.61787900000002</v>
      </c>
      <c r="L47" s="46">
        <f t="shared" si="8"/>
        <v>195.11207299999998</v>
      </c>
      <c r="M47" s="46">
        <f t="shared" si="8"/>
        <v>191.269643</v>
      </c>
      <c r="N47" s="46">
        <f t="shared" si="8"/>
        <v>185.26177500000003</v>
      </c>
      <c r="O47" s="46">
        <f t="shared" si="8"/>
        <v>184.15994900000001</v>
      </c>
      <c r="P47" s="46">
        <f t="shared" si="8"/>
        <v>201.00004000000001</v>
      </c>
      <c r="Q47" s="46">
        <f t="shared" si="8"/>
        <v>202.69626999999997</v>
      </c>
      <c r="R47" s="46">
        <f t="shared" si="8"/>
        <v>189.70147900000001</v>
      </c>
      <c r="S47" s="46">
        <f t="shared" si="8"/>
        <v>180.195076</v>
      </c>
      <c r="T47" s="46">
        <f t="shared" si="8"/>
        <v>171.11874299999997</v>
      </c>
      <c r="U47" s="46">
        <f t="shared" si="8"/>
        <v>164.63626199999999</v>
      </c>
      <c r="V47" s="46">
        <f t="shared" si="8"/>
        <v>161.05643400000002</v>
      </c>
      <c r="W47" s="46">
        <f t="shared" si="8"/>
        <v>155.32609200000002</v>
      </c>
      <c r="X47" s="46">
        <f t="shared" si="8"/>
        <v>144.52226700000003</v>
      </c>
      <c r="Y47" s="46">
        <f t="shared" si="8"/>
        <v>131.38468499999999</v>
      </c>
      <c r="Z47" s="37"/>
    </row>
    <row r="48" spans="1:26">
      <c r="K48" s="48"/>
      <c r="L48" s="48"/>
      <c r="M48" s="48"/>
      <c r="N48" s="48"/>
      <c r="O48" s="48"/>
      <c r="P48" s="48"/>
      <c r="Q48" s="48"/>
      <c r="R48" s="48"/>
      <c r="S48" s="48"/>
      <c r="T48" s="48"/>
      <c r="U48" s="48"/>
      <c r="V48" s="48"/>
      <c r="W48" s="48"/>
      <c r="X48" s="48"/>
      <c r="Y48" s="48"/>
      <c r="Z48" s="47"/>
    </row>
    <row r="49" spans="1:26" hidden="1">
      <c r="A49" s="49" t="s">
        <v>504</v>
      </c>
      <c r="B49" s="49"/>
      <c r="C49" s="49"/>
      <c r="D49" s="49"/>
      <c r="E49" s="49"/>
      <c r="F49" s="45"/>
      <c r="G49" s="45"/>
      <c r="H49" s="45"/>
      <c r="I49" s="45"/>
      <c r="J49" s="45"/>
      <c r="K49" s="70">
        <f t="shared" ref="K49:Y49" si="9">K32</f>
        <v>2014</v>
      </c>
      <c r="L49" s="70">
        <f t="shared" si="9"/>
        <v>2013</v>
      </c>
      <c r="M49" s="70">
        <f t="shared" si="9"/>
        <v>2012</v>
      </c>
      <c r="N49" s="70">
        <f t="shared" si="9"/>
        <v>2011</v>
      </c>
      <c r="O49" s="70">
        <f t="shared" si="9"/>
        <v>2010</v>
      </c>
      <c r="P49" s="70">
        <f t="shared" si="9"/>
        <v>2009</v>
      </c>
      <c r="Q49" s="70">
        <f t="shared" si="9"/>
        <v>2008</v>
      </c>
      <c r="R49" s="70">
        <f t="shared" si="9"/>
        <v>2007</v>
      </c>
      <c r="S49" s="70">
        <f t="shared" si="9"/>
        <v>2006</v>
      </c>
      <c r="T49" s="70">
        <f t="shared" si="9"/>
        <v>2005</v>
      </c>
      <c r="U49" s="70">
        <f t="shared" si="9"/>
        <v>2004</v>
      </c>
      <c r="V49" s="70">
        <f t="shared" si="9"/>
        <v>2003</v>
      </c>
      <c r="W49" s="70">
        <f t="shared" si="9"/>
        <v>2002</v>
      </c>
      <c r="X49" s="70">
        <f t="shared" si="9"/>
        <v>2001</v>
      </c>
      <c r="Y49" s="70">
        <f t="shared" si="9"/>
        <v>2000</v>
      </c>
      <c r="Z49" s="47"/>
    </row>
    <row r="50" spans="1:26" hidden="1">
      <c r="A50" s="15" t="str">
        <f t="shared" ref="A50:A63" si="10">A34</f>
        <v>Legislative-Executive Functions / Central Services</v>
      </c>
      <c r="F50" s="52">
        <f t="shared" ref="F50:Y50" si="11">F34/F$47</f>
        <v>0.50311527581534188</v>
      </c>
      <c r="G50" s="52"/>
      <c r="H50" s="52">
        <f t="shared" si="11"/>
        <v>0.5179534433537355</v>
      </c>
      <c r="I50" s="52">
        <f t="shared" si="11"/>
        <v>0.50915726212588552</v>
      </c>
      <c r="J50" s="52">
        <f t="shared" si="11"/>
        <v>0.49969891653743626</v>
      </c>
      <c r="K50" s="52">
        <f t="shared" si="11"/>
        <v>0.52608685567165603</v>
      </c>
      <c r="L50" s="52">
        <f t="shared" si="11"/>
        <v>0.50214270441378583</v>
      </c>
      <c r="M50" s="51">
        <f t="shared" si="11"/>
        <v>0.51750931014180857</v>
      </c>
      <c r="N50" s="51">
        <f t="shared" si="11"/>
        <v>0.50152521749292311</v>
      </c>
      <c r="O50" s="51">
        <f t="shared" si="11"/>
        <v>0.49953474954535304</v>
      </c>
      <c r="P50" s="51">
        <f t="shared" si="11"/>
        <v>0.50698145632209823</v>
      </c>
      <c r="Q50" s="51">
        <f t="shared" si="11"/>
        <v>0.50074886429829224</v>
      </c>
      <c r="R50" s="51">
        <f t="shared" si="11"/>
        <v>0.49661150506897206</v>
      </c>
      <c r="S50" s="51">
        <f t="shared" si="11"/>
        <v>0.50239378905115029</v>
      </c>
      <c r="T50" s="51">
        <f t="shared" si="11"/>
        <v>0.51208541194111057</v>
      </c>
      <c r="U50" s="51">
        <f t="shared" si="11"/>
        <v>0.51190396317428544</v>
      </c>
      <c r="V50" s="51">
        <f t="shared" si="11"/>
        <v>0.49344216822781506</v>
      </c>
      <c r="W50" s="51">
        <f t="shared" si="11"/>
        <v>0.49419521866294042</v>
      </c>
      <c r="X50" s="51">
        <f t="shared" si="11"/>
        <v>0.49489084612823009</v>
      </c>
      <c r="Y50" s="51">
        <f t="shared" si="11"/>
        <v>0.49618550289936764</v>
      </c>
      <c r="Z50" s="47"/>
    </row>
    <row r="51" spans="1:26" hidden="1">
      <c r="A51" s="15" t="str">
        <f t="shared" si="10"/>
        <v>Judicial Administration</v>
      </c>
      <c r="F51" s="52">
        <f t="shared" ref="F51:Y51" si="12">F35/F$47</f>
        <v>0</v>
      </c>
      <c r="G51" s="52"/>
      <c r="H51" s="52">
        <f t="shared" si="12"/>
        <v>0</v>
      </c>
      <c r="I51" s="52">
        <f t="shared" si="12"/>
        <v>0</v>
      </c>
      <c r="J51" s="52">
        <f t="shared" si="12"/>
        <v>0</v>
      </c>
      <c r="K51" s="52">
        <f t="shared" si="12"/>
        <v>0</v>
      </c>
      <c r="L51" s="52">
        <f t="shared" si="12"/>
        <v>0</v>
      </c>
      <c r="M51" s="51">
        <f t="shared" si="12"/>
        <v>0</v>
      </c>
      <c r="N51" s="51">
        <f t="shared" si="12"/>
        <v>0</v>
      </c>
      <c r="O51" s="51">
        <f t="shared" si="12"/>
        <v>0</v>
      </c>
      <c r="P51" s="51">
        <f t="shared" si="12"/>
        <v>0</v>
      </c>
      <c r="Q51" s="51">
        <f t="shared" si="12"/>
        <v>0</v>
      </c>
      <c r="R51" s="51">
        <f t="shared" si="12"/>
        <v>0</v>
      </c>
      <c r="S51" s="51">
        <f t="shared" si="12"/>
        <v>0</v>
      </c>
      <c r="T51" s="51">
        <f t="shared" si="12"/>
        <v>0</v>
      </c>
      <c r="U51" s="51">
        <f t="shared" si="12"/>
        <v>0</v>
      </c>
      <c r="V51" s="51">
        <f t="shared" si="12"/>
        <v>0</v>
      </c>
      <c r="W51" s="51">
        <f t="shared" si="12"/>
        <v>0</v>
      </c>
      <c r="X51" s="51">
        <f t="shared" si="12"/>
        <v>0</v>
      </c>
      <c r="Y51" s="51">
        <f t="shared" si="12"/>
        <v>0</v>
      </c>
      <c r="Z51" s="47"/>
    </row>
    <row r="52" spans="1:26" hidden="1">
      <c r="A52" s="15" t="str">
        <f t="shared" si="10"/>
        <v>Public Safety</v>
      </c>
      <c r="F52" s="52">
        <f t="shared" ref="F52:Y52" si="13">F36/F$47</f>
        <v>5.172449670768707E-2</v>
      </c>
      <c r="G52" s="52"/>
      <c r="H52" s="52">
        <f t="shared" si="13"/>
        <v>5.0043312033410246E-2</v>
      </c>
      <c r="I52" s="52">
        <f t="shared" si="13"/>
        <v>5.174046451704653E-2</v>
      </c>
      <c r="J52" s="52">
        <f t="shared" si="13"/>
        <v>5.2680600194317119E-2</v>
      </c>
      <c r="K52" s="52">
        <f t="shared" si="13"/>
        <v>5.0993726189690579E-2</v>
      </c>
      <c r="L52" s="52">
        <f t="shared" si="13"/>
        <v>5.2885328116010544E-2</v>
      </c>
      <c r="M52" s="51">
        <f t="shared" si="13"/>
        <v>5.2203077516069812E-2</v>
      </c>
      <c r="N52" s="51">
        <f t="shared" si="13"/>
        <v>5.4048726457468083E-2</v>
      </c>
      <c r="O52" s="51">
        <f t="shared" si="13"/>
        <v>5.3518645359746479E-2</v>
      </c>
      <c r="P52" s="51">
        <f t="shared" si="13"/>
        <v>5.0916557031530939E-2</v>
      </c>
      <c r="Q52" s="51">
        <f t="shared" si="13"/>
        <v>5.0613309263165034E-2</v>
      </c>
      <c r="R52" s="51">
        <f t="shared" si="13"/>
        <v>5.1926664209086107E-2</v>
      </c>
      <c r="S52" s="51">
        <f t="shared" si="13"/>
        <v>5.3036471429441276E-2</v>
      </c>
      <c r="T52" s="51">
        <f t="shared" si="13"/>
        <v>5.302734721467655E-2</v>
      </c>
      <c r="U52" s="51">
        <f t="shared" si="13"/>
        <v>5.3558711142263425E-2</v>
      </c>
      <c r="V52" s="51">
        <f t="shared" si="13"/>
        <v>5.2302946183447718E-2</v>
      </c>
      <c r="W52" s="51">
        <f t="shared" si="13"/>
        <v>5.4533497179598128E-2</v>
      </c>
      <c r="X52" s="51">
        <f t="shared" si="13"/>
        <v>5.4483860262169836E-2</v>
      </c>
      <c r="Y52" s="51">
        <f t="shared" si="13"/>
        <v>5.77524313431204E-2</v>
      </c>
      <c r="Z52" s="47"/>
    </row>
    <row r="53" spans="1:26" hidden="1">
      <c r="A53" s="15" t="str">
        <f t="shared" si="10"/>
        <v>Public Works</v>
      </c>
      <c r="F53" s="52">
        <f t="shared" ref="F53:Y53" si="14">F37/F$47</f>
        <v>1.7740512671281319E-2</v>
      </c>
      <c r="G53" s="52"/>
      <c r="H53" s="52">
        <f t="shared" si="14"/>
        <v>1.6472999474706766E-2</v>
      </c>
      <c r="I53" s="52">
        <f t="shared" si="14"/>
        <v>1.7138863385851438E-2</v>
      </c>
      <c r="J53" s="52">
        <f t="shared" si="14"/>
        <v>1.3763645275531972E-2</v>
      </c>
      <c r="K53" s="52">
        <f t="shared" si="14"/>
        <v>1.3084933147077003E-2</v>
      </c>
      <c r="L53" s="52">
        <f t="shared" si="14"/>
        <v>1.3597754148201789E-2</v>
      </c>
      <c r="M53" s="51">
        <f t="shared" si="14"/>
        <v>1.3321319369012468E-2</v>
      </c>
      <c r="N53" s="51">
        <f t="shared" si="14"/>
        <v>1.3448419135571812E-2</v>
      </c>
      <c r="O53" s="51">
        <f t="shared" si="14"/>
        <v>1.3766505767223033E-2</v>
      </c>
      <c r="P53" s="51">
        <f t="shared" si="14"/>
        <v>1.2467629359675748E-2</v>
      </c>
      <c r="Q53" s="51">
        <f t="shared" si="14"/>
        <v>1.1293532929836352E-2</v>
      </c>
      <c r="R53" s="51">
        <f t="shared" si="14"/>
        <v>1.0423719469261492E-2</v>
      </c>
      <c r="S53" s="51">
        <f t="shared" si="14"/>
        <v>1.0528439744935095E-2</v>
      </c>
      <c r="T53" s="51">
        <f t="shared" si="14"/>
        <v>1.0796111329546176E-2</v>
      </c>
      <c r="U53" s="51">
        <f t="shared" si="14"/>
        <v>1.0596529457161753E-2</v>
      </c>
      <c r="V53" s="51">
        <f t="shared" si="14"/>
        <v>1.0468212651473456E-2</v>
      </c>
      <c r="W53" s="51">
        <f t="shared" si="14"/>
        <v>1.0200848933996226E-2</v>
      </c>
      <c r="X53" s="51">
        <f t="shared" si="14"/>
        <v>1.0666155686583575E-2</v>
      </c>
      <c r="Y53" s="51">
        <f t="shared" si="14"/>
        <v>1.1783968580508453E-2</v>
      </c>
      <c r="Z53" s="47"/>
    </row>
    <row r="54" spans="1:26" hidden="1">
      <c r="A54" s="15" t="str">
        <f t="shared" si="10"/>
        <v>Health and Welfare</v>
      </c>
      <c r="F54" s="52">
        <f t="shared" ref="F54:Y54" si="15">F38/F$47</f>
        <v>1.059776344413459E-2</v>
      </c>
      <c r="G54" s="52"/>
      <c r="H54" s="52">
        <f t="shared" si="15"/>
        <v>1.0997503193049357E-2</v>
      </c>
      <c r="I54" s="52">
        <f t="shared" si="15"/>
        <v>1.0859732914191489E-2</v>
      </c>
      <c r="J54" s="52">
        <f t="shared" si="15"/>
        <v>1.0446925286074835E-2</v>
      </c>
      <c r="K54" s="52">
        <f t="shared" si="15"/>
        <v>1.0764949824842192E-2</v>
      </c>
      <c r="L54" s="52">
        <f t="shared" si="15"/>
        <v>1.0505023951029417E-2</v>
      </c>
      <c r="M54" s="51">
        <f t="shared" si="15"/>
        <v>1.111790123433231E-2</v>
      </c>
      <c r="N54" s="51">
        <f t="shared" si="15"/>
        <v>1.1623104658259911E-2</v>
      </c>
      <c r="O54" s="51">
        <f t="shared" si="15"/>
        <v>1.2613502624286673E-2</v>
      </c>
      <c r="P54" s="51">
        <f t="shared" si="15"/>
        <v>1.1975913039619295E-2</v>
      </c>
      <c r="Q54" s="51">
        <f t="shared" si="15"/>
        <v>1.1195045671042691E-2</v>
      </c>
      <c r="R54" s="51">
        <f t="shared" si="15"/>
        <v>1.1364386884933037E-2</v>
      </c>
      <c r="S54" s="51">
        <f t="shared" si="15"/>
        <v>1.1116313744333393E-2</v>
      </c>
      <c r="T54" s="51">
        <f t="shared" si="15"/>
        <v>1.0107314778486892E-2</v>
      </c>
      <c r="U54" s="51">
        <f t="shared" si="15"/>
        <v>9.2960079475079439E-3</v>
      </c>
      <c r="V54" s="51">
        <f t="shared" si="15"/>
        <v>9.7686007378010101E-3</v>
      </c>
      <c r="W54" s="51">
        <f t="shared" si="15"/>
        <v>1.0026518918663066E-2</v>
      </c>
      <c r="X54" s="51">
        <f t="shared" si="15"/>
        <v>1.0553135040429443E-2</v>
      </c>
      <c r="Y54" s="51">
        <f t="shared" si="15"/>
        <v>1.1711174708071951E-2</v>
      </c>
      <c r="Z54" s="47"/>
    </row>
    <row r="55" spans="1:26" hidden="1">
      <c r="A55" s="15" t="str">
        <f t="shared" si="10"/>
        <v>Parks and Libraries</v>
      </c>
      <c r="F55" s="52">
        <f t="shared" ref="F55:Y55" si="16">F39/F$47</f>
        <v>8.8701659447037312E-2</v>
      </c>
      <c r="G55" s="52"/>
      <c r="H55" s="52">
        <f t="shared" si="16"/>
        <v>8.7736821284382885E-2</v>
      </c>
      <c r="I55" s="52">
        <f t="shared" si="16"/>
        <v>8.8428217402925308E-2</v>
      </c>
      <c r="J55" s="52">
        <f t="shared" si="16"/>
        <v>9.5235934924694274E-2</v>
      </c>
      <c r="K55" s="52">
        <f t="shared" si="16"/>
        <v>8.925248923655292E-2</v>
      </c>
      <c r="L55" s="52">
        <f t="shared" si="16"/>
        <v>9.4461135677647176E-2</v>
      </c>
      <c r="M55" s="51">
        <f t="shared" si="16"/>
        <v>8.5515682172314186E-2</v>
      </c>
      <c r="N55" s="51">
        <f t="shared" si="16"/>
        <v>9.104184605809805E-2</v>
      </c>
      <c r="O55" s="51">
        <f t="shared" si="16"/>
        <v>8.9394268891766465E-2</v>
      </c>
      <c r="P55" s="51">
        <f t="shared" si="16"/>
        <v>9.1168713200256074E-2</v>
      </c>
      <c r="Q55" s="51">
        <f t="shared" si="16"/>
        <v>9.4901637805175215E-2</v>
      </c>
      <c r="R55" s="51">
        <f t="shared" si="16"/>
        <v>9.4026578464367169E-2</v>
      </c>
      <c r="S55" s="51">
        <f t="shared" si="16"/>
        <v>9.0907911379332032E-2</v>
      </c>
      <c r="T55" s="51">
        <f t="shared" si="16"/>
        <v>8.7022127085166837E-2</v>
      </c>
      <c r="U55" s="51">
        <f t="shared" si="16"/>
        <v>8.5478082586690415E-2</v>
      </c>
      <c r="V55" s="51">
        <f t="shared" si="16"/>
        <v>9.4498509758386917E-2</v>
      </c>
      <c r="W55" s="51">
        <f t="shared" si="16"/>
        <v>9.0678551289373827E-2</v>
      </c>
      <c r="X55" s="51">
        <f t="shared" si="16"/>
        <v>8.701449445157125E-2</v>
      </c>
      <c r="Y55" s="51">
        <f t="shared" si="16"/>
        <v>7.7755188894352484E-2</v>
      </c>
      <c r="Z55" s="47"/>
    </row>
    <row r="56" spans="1:26" hidden="1">
      <c r="A56" s="15" t="str">
        <f t="shared" si="10"/>
        <v>Community Development</v>
      </c>
      <c r="F56" s="52">
        <f t="shared" ref="F56:Y56" si="17">F40/F$47</f>
        <v>0.16876443227014029</v>
      </c>
      <c r="G56" s="52"/>
      <c r="H56" s="52">
        <f t="shared" si="17"/>
        <v>0.16525063598554926</v>
      </c>
      <c r="I56" s="52">
        <f t="shared" si="17"/>
        <v>0.16816727822001479</v>
      </c>
      <c r="J56" s="52">
        <f t="shared" si="17"/>
        <v>0.1721271056806182</v>
      </c>
      <c r="K56" s="52">
        <f t="shared" si="17"/>
        <v>0.16409609839816267</v>
      </c>
      <c r="L56" s="52">
        <f t="shared" si="17"/>
        <v>0.17144924189288893</v>
      </c>
      <c r="M56" s="51">
        <f t="shared" si="17"/>
        <v>0.16215798029172879</v>
      </c>
      <c r="N56" s="51">
        <f t="shared" si="17"/>
        <v>0.17016209630939785</v>
      </c>
      <c r="O56" s="51">
        <f t="shared" si="17"/>
        <v>0.16929292264302265</v>
      </c>
      <c r="P56" s="51">
        <f t="shared" si="17"/>
        <v>0.16652881263108207</v>
      </c>
      <c r="Q56" s="51">
        <f t="shared" si="17"/>
        <v>0.16800352566921931</v>
      </c>
      <c r="R56" s="51">
        <f t="shared" si="17"/>
        <v>0.16774134902764781</v>
      </c>
      <c r="S56" s="51">
        <f t="shared" si="17"/>
        <v>0.16558913629804178</v>
      </c>
      <c r="T56" s="51">
        <f t="shared" si="17"/>
        <v>0.16095290040787646</v>
      </c>
      <c r="U56" s="51">
        <f t="shared" si="17"/>
        <v>0.15892933113362354</v>
      </c>
      <c r="V56" s="51">
        <f t="shared" si="17"/>
        <v>0.1670382693311091</v>
      </c>
      <c r="W56" s="51">
        <f t="shared" si="17"/>
        <v>0.16543941632163123</v>
      </c>
      <c r="X56" s="51">
        <f t="shared" si="17"/>
        <v>0.16271764544075409</v>
      </c>
      <c r="Y56" s="51">
        <f t="shared" si="17"/>
        <v>0.1590027635260533</v>
      </c>
      <c r="Z56" s="47"/>
    </row>
    <row r="57" spans="1:26" hidden="1">
      <c r="A57" s="15" t="str">
        <f t="shared" si="10"/>
        <v>Nondepartmental (includes benefits)</v>
      </c>
      <c r="F57" s="52">
        <f t="shared" ref="F57:Y57" si="18">F41/F$47</f>
        <v>0</v>
      </c>
      <c r="G57" s="52"/>
      <c r="H57" s="52">
        <f t="shared" si="18"/>
        <v>0</v>
      </c>
      <c r="I57" s="52">
        <f t="shared" si="18"/>
        <v>0</v>
      </c>
      <c r="J57" s="52">
        <f t="shared" si="18"/>
        <v>0</v>
      </c>
      <c r="K57" s="52">
        <f t="shared" si="18"/>
        <v>0</v>
      </c>
      <c r="L57" s="52">
        <f t="shared" si="18"/>
        <v>0</v>
      </c>
      <c r="M57" s="51">
        <f t="shared" si="18"/>
        <v>0</v>
      </c>
      <c r="N57" s="51">
        <f t="shared" si="18"/>
        <v>0</v>
      </c>
      <c r="O57" s="51">
        <f t="shared" si="18"/>
        <v>0</v>
      </c>
      <c r="P57" s="51">
        <f t="shared" si="18"/>
        <v>0</v>
      </c>
      <c r="Q57" s="51">
        <f t="shared" si="18"/>
        <v>0</v>
      </c>
      <c r="R57" s="51">
        <f t="shared" si="18"/>
        <v>0</v>
      </c>
      <c r="S57" s="51">
        <f t="shared" si="18"/>
        <v>0</v>
      </c>
      <c r="T57" s="51">
        <f t="shared" si="18"/>
        <v>0</v>
      </c>
      <c r="U57" s="51">
        <f t="shared" si="18"/>
        <v>0</v>
      </c>
      <c r="V57" s="51">
        <f t="shared" si="18"/>
        <v>0</v>
      </c>
      <c r="W57" s="51">
        <f t="shared" si="18"/>
        <v>0</v>
      </c>
      <c r="X57" s="51">
        <f t="shared" si="18"/>
        <v>0</v>
      </c>
      <c r="Y57" s="51">
        <f t="shared" si="18"/>
        <v>0</v>
      </c>
      <c r="Z57" s="47"/>
    </row>
    <row r="58" spans="1:26" hidden="1">
      <c r="A58" s="15" t="str">
        <f t="shared" si="10"/>
        <v>Education transfers (includes debt, benefits)</v>
      </c>
      <c r="F58" s="52">
        <f t="shared" ref="F58:Y58" si="19">F42/F$47</f>
        <v>3.3322881941033359E-3</v>
      </c>
      <c r="G58" s="52"/>
      <c r="H58" s="52">
        <f t="shared" si="19"/>
        <v>3.1530412647266647E-3</v>
      </c>
      <c r="I58" s="52">
        <f t="shared" si="19"/>
        <v>3.2844689190303228E-3</v>
      </c>
      <c r="J58" s="52">
        <f t="shared" si="19"/>
        <v>3.7240433277727207E-3</v>
      </c>
      <c r="K58" s="52">
        <f t="shared" si="19"/>
        <v>3.2244503837564179E-3</v>
      </c>
      <c r="L58" s="52">
        <f t="shared" si="19"/>
        <v>3.38704309702045E-3</v>
      </c>
      <c r="M58" s="51">
        <f t="shared" si="19"/>
        <v>4.1424189828178845E-3</v>
      </c>
      <c r="N58" s="51">
        <f t="shared" si="19"/>
        <v>4.6257842450230218E-3</v>
      </c>
      <c r="O58" s="51">
        <f t="shared" si="19"/>
        <v>5.0426816745045904E-3</v>
      </c>
      <c r="P58" s="51">
        <f t="shared" si="19"/>
        <v>5.0433920311657643E-3</v>
      </c>
      <c r="Q58" s="51">
        <f t="shared" si="19"/>
        <v>5.2113687143823615E-3</v>
      </c>
      <c r="R58" s="51">
        <f t="shared" si="19"/>
        <v>5.0992433221883314E-3</v>
      </c>
      <c r="S58" s="51">
        <f t="shared" si="19"/>
        <v>5.7499406920530948E-3</v>
      </c>
      <c r="T58" s="51">
        <f t="shared" si="19"/>
        <v>4.7968678685303343E-3</v>
      </c>
      <c r="U58" s="51">
        <f t="shared" si="19"/>
        <v>5.4664870853299626E-3</v>
      </c>
      <c r="V58" s="51">
        <f t="shared" si="19"/>
        <v>6.409715988123765E-3</v>
      </c>
      <c r="W58" s="51">
        <f t="shared" si="19"/>
        <v>6.0416443104742493E-3</v>
      </c>
      <c r="X58" s="51">
        <f t="shared" si="19"/>
        <v>6.0756935123360599E-3</v>
      </c>
      <c r="Y58" s="51">
        <f t="shared" si="19"/>
        <v>7.3012619393196402E-3</v>
      </c>
      <c r="Z58" s="47"/>
    </row>
    <row r="59" spans="1:26" hidden="1">
      <c r="A59" s="15" t="str">
        <f t="shared" si="10"/>
        <v>OPEB, Retiree health benefits</v>
      </c>
      <c r="F59" s="52">
        <f t="shared" ref="F59:Y59" si="20">F43/F$47</f>
        <v>4.8225095279819226E-2</v>
      </c>
      <c r="G59" s="52"/>
      <c r="H59" s="52">
        <f t="shared" si="20"/>
        <v>4.487507584197245E-2</v>
      </c>
      <c r="I59" s="52">
        <f t="shared" si="20"/>
        <v>4.6630910826023303E-2</v>
      </c>
      <c r="J59" s="52">
        <f t="shared" si="20"/>
        <v>4.9045052978983698E-2</v>
      </c>
      <c r="K59" s="52">
        <f t="shared" si="20"/>
        <v>3.9739230595858946E-2</v>
      </c>
      <c r="L59" s="52">
        <f t="shared" si="20"/>
        <v>4.5390292173257782E-2</v>
      </c>
      <c r="M59" s="51">
        <f t="shared" si="20"/>
        <v>4.7279970089137452E-2</v>
      </c>
      <c r="N59" s="51">
        <f t="shared" si="20"/>
        <v>4.5054129487855754E-2</v>
      </c>
      <c r="O59" s="51">
        <f t="shared" si="20"/>
        <v>4.6531186865174469E-2</v>
      </c>
      <c r="P59" s="51">
        <f t="shared" si="20"/>
        <v>4.9824925407975035E-2</v>
      </c>
      <c r="Q59" s="51">
        <f t="shared" si="20"/>
        <v>5.3505774921265209E-2</v>
      </c>
      <c r="R59" s="51">
        <f t="shared" si="20"/>
        <v>5.5433089164265294E-2</v>
      </c>
      <c r="S59" s="51">
        <f t="shared" si="20"/>
        <v>5.6164359341317402E-2</v>
      </c>
      <c r="T59" s="51">
        <f t="shared" si="20"/>
        <v>5.6390836157556398E-2</v>
      </c>
      <c r="U59" s="51">
        <f t="shared" si="20"/>
        <v>5.8545310024106359E-2</v>
      </c>
      <c r="V59" s="51">
        <f t="shared" si="20"/>
        <v>6.0871464470646348E-2</v>
      </c>
      <c r="W59" s="51">
        <f t="shared" si="20"/>
        <v>6.0377454162691475E-2</v>
      </c>
      <c r="X59" s="51">
        <f t="shared" si="20"/>
        <v>6.2348198565138742E-2</v>
      </c>
      <c r="Y59" s="51">
        <f t="shared" si="20"/>
        <v>0</v>
      </c>
      <c r="Z59" s="47"/>
    </row>
    <row r="60" spans="1:26" hidden="1">
      <c r="A60" s="15" t="str">
        <f t="shared" si="10"/>
        <v>Welfare transfers</v>
      </c>
      <c r="F60" s="52">
        <f t="shared" ref="F60:Y60" si="21">F44/F$47</f>
        <v>0</v>
      </c>
      <c r="G60" s="52"/>
      <c r="H60" s="52">
        <f t="shared" si="21"/>
        <v>0</v>
      </c>
      <c r="I60" s="52">
        <f t="shared" si="21"/>
        <v>0</v>
      </c>
      <c r="J60" s="52">
        <f t="shared" si="21"/>
        <v>0</v>
      </c>
      <c r="K60" s="52">
        <f t="shared" si="21"/>
        <v>0</v>
      </c>
      <c r="L60" s="52">
        <f t="shared" si="21"/>
        <v>0</v>
      </c>
      <c r="M60" s="51">
        <f t="shared" si="21"/>
        <v>0</v>
      </c>
      <c r="N60" s="51">
        <f t="shared" si="21"/>
        <v>0</v>
      </c>
      <c r="O60" s="51">
        <f t="shared" si="21"/>
        <v>0</v>
      </c>
      <c r="P60" s="51">
        <f t="shared" si="21"/>
        <v>0</v>
      </c>
      <c r="Q60" s="51">
        <f t="shared" si="21"/>
        <v>0</v>
      </c>
      <c r="R60" s="51">
        <f t="shared" si="21"/>
        <v>0</v>
      </c>
      <c r="S60" s="51">
        <f t="shared" si="21"/>
        <v>0</v>
      </c>
      <c r="T60" s="51">
        <f t="shared" si="21"/>
        <v>0</v>
      </c>
      <c r="U60" s="51">
        <f t="shared" si="21"/>
        <v>0</v>
      </c>
      <c r="V60" s="51">
        <f t="shared" si="21"/>
        <v>0</v>
      </c>
      <c r="W60" s="51">
        <f t="shared" si="21"/>
        <v>0</v>
      </c>
      <c r="X60" s="51">
        <f t="shared" si="21"/>
        <v>0</v>
      </c>
      <c r="Y60" s="51">
        <f t="shared" si="21"/>
        <v>6.6697339952521875E-2</v>
      </c>
      <c r="Z60" s="47"/>
    </row>
    <row r="61" spans="1:26" hidden="1">
      <c r="A61" s="15" t="str">
        <f t="shared" si="10"/>
        <v>County debt</v>
      </c>
      <c r="F61" s="52">
        <f t="shared" ref="F61:Y61" si="22">F45/F$47</f>
        <v>0.10779847617045489</v>
      </c>
      <c r="G61" s="52"/>
      <c r="H61" s="52">
        <f t="shared" si="22"/>
        <v>0.10351716756846698</v>
      </c>
      <c r="I61" s="52">
        <f t="shared" si="22"/>
        <v>0.10459280168903143</v>
      </c>
      <c r="J61" s="52">
        <f t="shared" si="22"/>
        <v>0.10327777579457117</v>
      </c>
      <c r="K61" s="52">
        <f t="shared" si="22"/>
        <v>0.10275726655240321</v>
      </c>
      <c r="L61" s="52">
        <f t="shared" si="22"/>
        <v>0.10618147653015814</v>
      </c>
      <c r="M61" s="51">
        <f t="shared" si="22"/>
        <v>0.10675234020277855</v>
      </c>
      <c r="N61" s="51">
        <f t="shared" si="22"/>
        <v>0.10847067615540225</v>
      </c>
      <c r="O61" s="51">
        <f t="shared" si="22"/>
        <v>0.11030553662892249</v>
      </c>
      <c r="P61" s="51">
        <f t="shared" si="22"/>
        <v>0.10509260097659681</v>
      </c>
      <c r="Q61" s="51">
        <f t="shared" si="22"/>
        <v>0.1045269407276217</v>
      </c>
      <c r="R61" s="51">
        <f t="shared" si="22"/>
        <v>0.10737346438927869</v>
      </c>
      <c r="S61" s="51">
        <f t="shared" si="22"/>
        <v>0.10451363831939559</v>
      </c>
      <c r="T61" s="51">
        <f t="shared" si="22"/>
        <v>0.10482108321705005</v>
      </c>
      <c r="U61" s="51">
        <f t="shared" si="22"/>
        <v>0.10622557744903126</v>
      </c>
      <c r="V61" s="51">
        <f t="shared" si="22"/>
        <v>0.10520011265119653</v>
      </c>
      <c r="W61" s="51">
        <f t="shared" si="22"/>
        <v>0.10850685022063131</v>
      </c>
      <c r="X61" s="51">
        <f t="shared" si="22"/>
        <v>0.11124997091278672</v>
      </c>
      <c r="Y61" s="51">
        <f t="shared" si="22"/>
        <v>0.11089530716612823</v>
      </c>
      <c r="Z61" s="47"/>
    </row>
    <row r="62" spans="1:26" hidden="1">
      <c r="A62" s="15" t="str">
        <f t="shared" si="10"/>
        <v>Other transfers</v>
      </c>
      <c r="B62"/>
      <c r="F62" s="52">
        <f t="shared" ref="F62:Y62" si="23">F46/F$47</f>
        <v>0</v>
      </c>
      <c r="G62" s="52"/>
      <c r="H62" s="52">
        <f t="shared" si="23"/>
        <v>0</v>
      </c>
      <c r="I62" s="52">
        <f t="shared" si="23"/>
        <v>0</v>
      </c>
      <c r="J62" s="52">
        <f t="shared" si="23"/>
        <v>0</v>
      </c>
      <c r="K62" s="52">
        <f t="shared" si="23"/>
        <v>0</v>
      </c>
      <c r="L62" s="52">
        <f t="shared" si="23"/>
        <v>0</v>
      </c>
      <c r="M62" s="51">
        <f t="shared" si="23"/>
        <v>0</v>
      </c>
      <c r="N62" s="51">
        <f t="shared" si="23"/>
        <v>0</v>
      </c>
      <c r="O62" s="51">
        <f t="shared" si="23"/>
        <v>0</v>
      </c>
      <c r="P62" s="51">
        <f t="shared" si="23"/>
        <v>0</v>
      </c>
      <c r="Q62" s="51">
        <f t="shared" si="23"/>
        <v>0</v>
      </c>
      <c r="R62" s="51">
        <f t="shared" si="23"/>
        <v>0</v>
      </c>
      <c r="S62" s="51">
        <f t="shared" si="23"/>
        <v>0</v>
      </c>
      <c r="T62" s="51">
        <f t="shared" si="23"/>
        <v>0</v>
      </c>
      <c r="U62" s="51">
        <f t="shared" si="23"/>
        <v>0</v>
      </c>
      <c r="V62" s="51">
        <f t="shared" si="23"/>
        <v>0</v>
      </c>
      <c r="W62" s="51">
        <f t="shared" si="23"/>
        <v>0</v>
      </c>
      <c r="X62" s="51">
        <f t="shared" si="23"/>
        <v>0</v>
      </c>
      <c r="Y62" s="51">
        <f t="shared" si="23"/>
        <v>9.1506099055609113E-4</v>
      </c>
      <c r="Z62" s="47"/>
    </row>
    <row r="63" spans="1:26" hidden="1">
      <c r="A63" s="15" t="str">
        <f t="shared" si="10"/>
        <v>TOTAL</v>
      </c>
      <c r="B63"/>
      <c r="F63" s="52">
        <f t="shared" ref="F63:Y63" si="24">F47/F$47</f>
        <v>1</v>
      </c>
      <c r="G63" s="52"/>
      <c r="H63" s="52">
        <f t="shared" si="24"/>
        <v>1</v>
      </c>
      <c r="I63" s="52">
        <f t="shared" si="24"/>
        <v>1</v>
      </c>
      <c r="J63" s="52">
        <f t="shared" si="24"/>
        <v>1</v>
      </c>
      <c r="K63" s="52">
        <f t="shared" si="24"/>
        <v>1</v>
      </c>
      <c r="L63" s="52">
        <f t="shared" si="24"/>
        <v>1</v>
      </c>
      <c r="M63" s="51">
        <f t="shared" si="24"/>
        <v>1</v>
      </c>
      <c r="N63" s="51">
        <f t="shared" si="24"/>
        <v>1</v>
      </c>
      <c r="O63" s="51">
        <f t="shared" si="24"/>
        <v>1</v>
      </c>
      <c r="P63" s="51">
        <f t="shared" si="24"/>
        <v>1</v>
      </c>
      <c r="Q63" s="51">
        <f t="shared" si="24"/>
        <v>1</v>
      </c>
      <c r="R63" s="51">
        <f t="shared" si="24"/>
        <v>1</v>
      </c>
      <c r="S63" s="51">
        <f t="shared" si="24"/>
        <v>1</v>
      </c>
      <c r="T63" s="51">
        <f t="shared" si="24"/>
        <v>1</v>
      </c>
      <c r="U63" s="51">
        <f t="shared" si="24"/>
        <v>1</v>
      </c>
      <c r="V63" s="51">
        <f t="shared" si="24"/>
        <v>1</v>
      </c>
      <c r="W63" s="51">
        <f t="shared" si="24"/>
        <v>1</v>
      </c>
      <c r="X63" s="51">
        <f t="shared" si="24"/>
        <v>1</v>
      </c>
      <c r="Y63" s="51">
        <f t="shared" si="24"/>
        <v>1</v>
      </c>
      <c r="Z63" s="47"/>
    </row>
    <row r="64" spans="1:26" hidden="1">
      <c r="B64"/>
      <c r="M64" s="47"/>
      <c r="N64" s="47"/>
      <c r="O64" s="47"/>
      <c r="P64" s="47"/>
      <c r="Q64" s="47"/>
      <c r="R64" s="47"/>
      <c r="S64" s="47"/>
      <c r="T64" s="47"/>
      <c r="U64" s="47"/>
      <c r="V64" s="47"/>
      <c r="X64" s="47"/>
      <c r="Y64" s="47"/>
      <c r="Z64" s="47"/>
    </row>
    <row r="65" spans="1:26" hidden="1">
      <c r="A65" s="15" t="s">
        <v>490</v>
      </c>
      <c r="B65"/>
      <c r="F65" s="53">
        <f t="shared" ref="F65:Z65" si="25">F28/F30</f>
        <v>0.99065601092567623</v>
      </c>
      <c r="G65" s="53"/>
      <c r="H65" s="53">
        <f t="shared" si="25"/>
        <v>0.98275603545810253</v>
      </c>
      <c r="I65" s="53">
        <f t="shared" si="25"/>
        <v>0.98972830103380827</v>
      </c>
      <c r="J65" s="53">
        <f t="shared" si="25"/>
        <v>0.97009125937938467</v>
      </c>
      <c r="K65" s="53">
        <f t="shared" si="25"/>
        <v>0.98224580123919258</v>
      </c>
      <c r="L65" s="53">
        <f t="shared" si="25"/>
        <v>0.98168766813176667</v>
      </c>
      <c r="M65" s="53">
        <f t="shared" si="25"/>
        <v>0.98045388702367886</v>
      </c>
      <c r="N65" s="53">
        <f t="shared" si="25"/>
        <v>0.98160989023979384</v>
      </c>
      <c r="O65" s="53">
        <f t="shared" si="25"/>
        <v>0.97766297186607209</v>
      </c>
      <c r="P65" s="53">
        <f t="shared" si="25"/>
        <v>0.98559433117133632</v>
      </c>
      <c r="Q65" s="53">
        <f t="shared" si="25"/>
        <v>0.98229573805912873</v>
      </c>
      <c r="R65" s="53">
        <f t="shared" si="25"/>
        <v>0.97277393711902183</v>
      </c>
      <c r="S65" s="53">
        <f t="shared" si="25"/>
        <v>0.94212334629419481</v>
      </c>
      <c r="T65" s="53">
        <f t="shared" si="25"/>
        <v>0.96937795281352823</v>
      </c>
      <c r="U65" s="53">
        <f t="shared" si="25"/>
        <v>0.98011443594504122</v>
      </c>
      <c r="V65" s="53">
        <f t="shared" si="25"/>
        <v>0.99629922084946798</v>
      </c>
      <c r="W65" s="53">
        <f t="shared" si="25"/>
        <v>0.99034927176231291</v>
      </c>
      <c r="X65" s="53">
        <f t="shared" si="25"/>
        <v>0.98316075751700549</v>
      </c>
      <c r="Y65" s="53">
        <f t="shared" si="25"/>
        <v>0.97606477920337953</v>
      </c>
      <c r="Z65" s="53">
        <f t="shared" si="25"/>
        <v>0.99093434408226311</v>
      </c>
    </row>
    <row r="66" spans="1:26">
      <c r="A66" s="15" t="s">
        <v>511</v>
      </c>
      <c r="U66" s="47"/>
      <c r="Y66" s="54" t="s">
        <v>512</v>
      </c>
    </row>
    <row r="67" spans="1:26">
      <c r="A67" s="81" t="s">
        <v>496</v>
      </c>
      <c r="B67" s="81"/>
      <c r="C67" s="81"/>
      <c r="D67" s="83">
        <f>'[2]Budget summary'!$B$81</f>
        <v>2586.9843518975763</v>
      </c>
      <c r="E67" s="83">
        <f>'[2]Budget summary'!$C$81</f>
        <v>2510.1977973438275</v>
      </c>
      <c r="F67" s="83">
        <f>'[2]Budget summary'!$C$81</f>
        <v>2510.1977973438275</v>
      </c>
      <c r="G67" s="83">
        <f>'[2]Budget summary'!$D$20/1000000</f>
        <v>2466.2831719999999</v>
      </c>
      <c r="H67" s="83">
        <f>'[3]Budget summary'!C21/1000000</f>
        <v>2574.8453730000001</v>
      </c>
      <c r="I67" s="83">
        <f>J67*1.0345</f>
        <v>2524.4048165054996</v>
      </c>
      <c r="J67" s="47">
        <v>2440.2173189999999</v>
      </c>
      <c r="K67" s="47">
        <v>2493.2610089999998</v>
      </c>
      <c r="L67" s="47">
        <v>2385.6246259999998</v>
      </c>
      <c r="M67" s="47">
        <v>2214.362709</v>
      </c>
      <c r="N67" s="47">
        <v>2122.7711829999998</v>
      </c>
      <c r="O67" s="47">
        <v>2096.962301</v>
      </c>
      <c r="P67" s="47">
        <v>2176.6583569999998</v>
      </c>
      <c r="Q67" s="47">
        <v>2144.1423249999998</v>
      </c>
      <c r="R67" s="47">
        <v>2038.8088009999999</v>
      </c>
      <c r="S67" s="47">
        <v>1910.433818</v>
      </c>
      <c r="T67" s="47">
        <v>1767.4404480000001</v>
      </c>
      <c r="U67" s="47">
        <v>1630.701399</v>
      </c>
      <c r="V67" s="47">
        <v>1575.9632999999999</v>
      </c>
      <c r="W67" s="47">
        <v>1444.4858999999999</v>
      </c>
      <c r="X67" s="47">
        <v>1376.3089</v>
      </c>
      <c r="Y67" s="47">
        <v>1271.6801</v>
      </c>
      <c r="Z67" s="47"/>
    </row>
    <row r="68" spans="1:26">
      <c r="A68" s="81" t="s">
        <v>498</v>
      </c>
      <c r="B68" s="81"/>
      <c r="C68" s="81"/>
      <c r="D68" s="83">
        <f>SUM('[2]Budget summary'!$B$67:$B$70)</f>
        <v>1604.5888128709546</v>
      </c>
      <c r="E68" s="83">
        <f>SUM('[2]Budget summary'!$C$67:$C$70)</f>
        <v>1559.4999754058042</v>
      </c>
      <c r="F68" s="83">
        <f>SUM('[2]Budget summary'!$C$67:$C$70)</f>
        <v>1559.4999754058042</v>
      </c>
      <c r="G68" s="83">
        <f>G67-SUM('[2]Budget summary'!$D$6:$D$9)/1000000</f>
        <v>932.75382300000001</v>
      </c>
      <c r="H68" s="83">
        <f>H67-SUM('[3]Budget summary'!C6:C9)/1000000</f>
        <v>1000.5968850000002</v>
      </c>
      <c r="I68" s="83">
        <f>J68*1.0345</f>
        <v>934.93754237749999</v>
      </c>
      <c r="J68" s="47">
        <v>903.75789499999996</v>
      </c>
      <c r="K68" s="47">
        <v>948.00231199999985</v>
      </c>
      <c r="L68" s="47">
        <v>1013.4001450000001</v>
      </c>
      <c r="M68" s="47">
        <v>795.06392499999993</v>
      </c>
      <c r="N68" s="47">
        <v>760.51661399999989</v>
      </c>
      <c r="O68" s="47">
        <v>714.75156100000004</v>
      </c>
      <c r="P68" s="47">
        <v>776.73105899999973</v>
      </c>
      <c r="Q68" s="47">
        <v>786.75925199999983</v>
      </c>
      <c r="R68" s="47">
        <v>736.05250999999998</v>
      </c>
      <c r="S68" s="47">
        <v>666.45741299999986</v>
      </c>
      <c r="T68" s="47">
        <v>596.59824100000014</v>
      </c>
      <c r="U68" s="47">
        <v>516.87396899999999</v>
      </c>
      <c r="V68" s="47">
        <v>501.87139999999999</v>
      </c>
      <c r="W68" s="47">
        <v>425.36509999999987</v>
      </c>
      <c r="X68" s="47">
        <v>429.21849999999995</v>
      </c>
      <c r="Y68" s="47">
        <v>413.09949999999992</v>
      </c>
      <c r="Z68" s="47"/>
    </row>
    <row r="69" spans="1:26">
      <c r="A69" s="81" t="s">
        <v>497</v>
      </c>
      <c r="B69" s="81"/>
      <c r="C69" s="81"/>
      <c r="D69" s="83">
        <f>D67*$K$3/F3</f>
        <v>2503.6812436389114</v>
      </c>
      <c r="E69" s="83">
        <f>E67*$K$3/G3</f>
        <v>2469.4518419516253</v>
      </c>
      <c r="F69" s="83">
        <f>F67*$K$3/H3</f>
        <v>2469.4518419516253</v>
      </c>
      <c r="G69" s="83">
        <f>G67*$K$3/H3</f>
        <v>2426.2500462370881</v>
      </c>
      <c r="H69" s="83">
        <f>H67*$K$3/I3</f>
        <v>2533.0500472208555</v>
      </c>
      <c r="I69" s="83">
        <f>J69*1.0345</f>
        <v>2524.4048165054996</v>
      </c>
      <c r="J69" s="47">
        <v>2440.2173189999999</v>
      </c>
      <c r="K69" s="47">
        <v>2493.2610089999998</v>
      </c>
      <c r="L69" s="47">
        <v>2424.3247768376809</v>
      </c>
      <c r="M69" s="47">
        <v>2283.2475134755332</v>
      </c>
      <c r="N69" s="47">
        <v>2234.1005349174488</v>
      </c>
      <c r="O69" s="47">
        <v>2276.602417650754</v>
      </c>
      <c r="P69" s="47">
        <v>2401.8875792014655</v>
      </c>
      <c r="Q69" s="47">
        <v>2357.589233815851</v>
      </c>
      <c r="R69" s="47">
        <v>2327.8437562819054</v>
      </c>
      <c r="S69" s="47">
        <v>2243.3967199587519</v>
      </c>
      <c r="T69" s="47">
        <v>2142.4325472152382</v>
      </c>
      <c r="U69" s="47">
        <v>2043.6527166608287</v>
      </c>
      <c r="V69" s="47">
        <v>2027.6495133116848</v>
      </c>
      <c r="W69" s="47">
        <v>1900.8452182882156</v>
      </c>
      <c r="X69" s="47">
        <v>1839.7633717403539</v>
      </c>
      <c r="Y69" s="47">
        <v>1748.2733571445028</v>
      </c>
      <c r="Z69" s="47"/>
    </row>
    <row r="70" spans="1:26">
      <c r="A70" s="81" t="s">
        <v>498</v>
      </c>
      <c r="B70" s="81"/>
      <c r="C70" s="81"/>
      <c r="D70" s="83">
        <f>D68*$K$3/F3</f>
        <v>1552.9196810143258</v>
      </c>
      <c r="E70" s="83">
        <f>E68*$K$3/G3</f>
        <v>1534.185907925041</v>
      </c>
      <c r="F70" s="83">
        <f>F68*$K$3/H3</f>
        <v>1534.185907925041</v>
      </c>
      <c r="G70" s="83">
        <f>G68*$K$3/H3</f>
        <v>917.61320511559268</v>
      </c>
      <c r="H70" s="83">
        <f>H68*$K$3/I3</f>
        <v>984.35502705361557</v>
      </c>
      <c r="I70" s="83">
        <f>J70*1.0345</f>
        <v>934.93754237749999</v>
      </c>
      <c r="J70" s="47">
        <v>903.75789499999996</v>
      </c>
      <c r="K70" s="47">
        <v>948.00231199999985</v>
      </c>
      <c r="L70" s="47">
        <v>1029.8397550052782</v>
      </c>
      <c r="M70" s="47">
        <v>819.79692054611269</v>
      </c>
      <c r="N70" s="47">
        <v>800.40212895192997</v>
      </c>
      <c r="O70" s="47">
        <v>775.98206272772222</v>
      </c>
      <c r="P70" s="47">
        <v>857.10312644718829</v>
      </c>
      <c r="Q70" s="47">
        <v>865.08023301121659</v>
      </c>
      <c r="R70" s="47">
        <v>840.40015859198013</v>
      </c>
      <c r="S70" s="47">
        <v>782.61197023910461</v>
      </c>
      <c r="T70" s="47">
        <v>723.17655204514188</v>
      </c>
      <c r="U70" s="47">
        <v>647.7647542130519</v>
      </c>
      <c r="V70" s="47">
        <v>645.71256193278987</v>
      </c>
      <c r="W70" s="47">
        <v>559.75154645793953</v>
      </c>
      <c r="X70" s="47">
        <v>573.75235659185023</v>
      </c>
      <c r="Y70" s="47">
        <v>567.918653205091</v>
      </c>
      <c r="Z70" s="47"/>
    </row>
    <row r="71" spans="1:26">
      <c r="K71" s="47"/>
      <c r="L71" s="47"/>
      <c r="M71" s="47"/>
      <c r="N71" s="47"/>
      <c r="O71" s="47"/>
      <c r="P71" s="47"/>
      <c r="Q71" s="47"/>
      <c r="R71" s="47"/>
      <c r="S71" s="47"/>
      <c r="T71" s="47"/>
      <c r="U71" s="47"/>
      <c r="V71" s="47"/>
      <c r="W71" s="47"/>
      <c r="X71" s="47"/>
      <c r="Y71" s="47"/>
      <c r="Z71" s="47"/>
    </row>
    <row r="72" spans="1:26">
      <c r="F72" s="72"/>
      <c r="G72" s="72"/>
      <c r="H72" s="72"/>
      <c r="I72" s="72"/>
      <c r="J72" s="72"/>
      <c r="K72" s="145"/>
      <c r="L72" s="72"/>
      <c r="U72" s="47"/>
    </row>
    <row r="73" spans="1:26" ht="18.75">
      <c r="A73" s="41" t="s">
        <v>680</v>
      </c>
      <c r="B73" s="41"/>
      <c r="C73" s="41"/>
      <c r="D73" s="73">
        <f t="shared" ref="D73:I73" si="26">D3/E3</f>
        <v>1.01</v>
      </c>
      <c r="E73" s="73">
        <f t="shared" si="26"/>
        <v>1</v>
      </c>
      <c r="F73" s="73">
        <f t="shared" si="26"/>
        <v>1.0165</v>
      </c>
      <c r="G73" s="73">
        <f t="shared" si="26"/>
        <v>1</v>
      </c>
      <c r="H73" s="73">
        <f t="shared" si="26"/>
        <v>1</v>
      </c>
      <c r="I73" s="73">
        <f t="shared" si="26"/>
        <v>1.0165</v>
      </c>
      <c r="J73" s="66" t="s">
        <v>679</v>
      </c>
      <c r="N73" s="47"/>
      <c r="O73" s="47"/>
      <c r="P73" s="47"/>
      <c r="Q73" s="47"/>
      <c r="R73" s="47"/>
      <c r="S73" s="47"/>
      <c r="T73" s="47"/>
      <c r="U73" s="47"/>
      <c r="V73" s="47"/>
      <c r="X73" s="47"/>
      <c r="Y73" s="47"/>
      <c r="Z73" s="47"/>
    </row>
    <row r="74" spans="1:26">
      <c r="A74" s="81" t="s">
        <v>495</v>
      </c>
      <c r="B74" s="81"/>
      <c r="C74" s="81"/>
      <c r="D74" s="83">
        <f>E74*D73</f>
        <v>60171.360835440355</v>
      </c>
      <c r="E74" s="83">
        <f>F74*E73</f>
        <v>59575.604787564705</v>
      </c>
      <c r="F74" s="83">
        <f>G74*F73</f>
        <v>59575.604787564705</v>
      </c>
      <c r="G74" s="83">
        <f>H74*G73</f>
        <v>58608.563489980035</v>
      </c>
      <c r="H74" s="83">
        <f>I74*H73</f>
        <v>58608.563489980035</v>
      </c>
      <c r="I74" s="83">
        <v>58608.563489980035</v>
      </c>
      <c r="J74" s="47">
        <f>K74</f>
        <v>55779.493836000001</v>
      </c>
      <c r="K74" s="47">
        <f>142484*391479/1000000</f>
        <v>55779.493836000001</v>
      </c>
      <c r="L74" s="47">
        <f>[4]ACS!$J9</f>
        <v>54453.666376000001</v>
      </c>
      <c r="M74" s="47">
        <f>[4]ACS!J10</f>
        <v>54003.065424</v>
      </c>
      <c r="N74" s="47">
        <f>[4]ACS!J11</f>
        <v>52490.725953666006</v>
      </c>
      <c r="O74" s="47">
        <f>[4]ACS!J12</f>
        <v>50843.698831575013</v>
      </c>
      <c r="P74" s="47">
        <f>[4]ACS!J13</f>
        <v>48292.789995999992</v>
      </c>
      <c r="Q74" s="47">
        <f>[4]ACS!J14</f>
        <v>50056.950435999999</v>
      </c>
      <c r="R74" s="47">
        <f>[4]ACS!J15</f>
        <v>48017.021001000001</v>
      </c>
      <c r="S74" s="47">
        <f>[4]ACS!J16</f>
        <v>45493.388863999993</v>
      </c>
      <c r="T74" s="47">
        <f>[4]ACS!J17</f>
        <v>43424.058911999993</v>
      </c>
      <c r="U74" s="47">
        <f>[4]ACS!J18</f>
        <v>40341.011474999999</v>
      </c>
      <c r="V74" s="47">
        <f>[4]ACS!J19</f>
        <v>37535.093766999998</v>
      </c>
      <c r="W74" s="47">
        <f>[4]ACS!J20</f>
        <v>37294.727200000001</v>
      </c>
      <c r="X74" s="47">
        <f>W74/W3*X3</f>
        <v>36714.264519844357</v>
      </c>
      <c r="Y74" s="47">
        <f>X74/X3*Y3</f>
        <v>35698.45482957198</v>
      </c>
      <c r="Z74" s="47"/>
    </row>
    <row r="75" spans="1:26">
      <c r="A75" s="81" t="s">
        <v>499</v>
      </c>
      <c r="B75" s="81"/>
      <c r="C75" s="81"/>
      <c r="D75" s="83">
        <f t="shared" ref="D75" si="27">D74*$K$3/D3</f>
        <v>57657.219370368948</v>
      </c>
      <c r="E75" s="83">
        <f t="shared" ref="E75" si="28">E74*$K$3/E3</f>
        <v>57657.219370368941</v>
      </c>
      <c r="F75" s="83">
        <f t="shared" ref="F75" si="29">F74*$K$3/F3</f>
        <v>57657.219370368941</v>
      </c>
      <c r="G75" s="83">
        <f t="shared" ref="G75" si="30">G74*$K$3/G3</f>
        <v>57657.219370368948</v>
      </c>
      <c r="H75" s="83">
        <f t="shared" ref="H75:L75" si="31">H74*$K$3/H3</f>
        <v>57657.219370368948</v>
      </c>
      <c r="I75" s="83">
        <f t="shared" si="31"/>
        <v>57657.219370368948</v>
      </c>
      <c r="J75" s="47">
        <f>J74*$K$3/J3</f>
        <v>55779.493836000001</v>
      </c>
      <c r="K75" s="47">
        <f t="shared" si="31"/>
        <v>55779.493836000001</v>
      </c>
      <c r="L75" s="47">
        <f t="shared" si="31"/>
        <v>55337.026263992688</v>
      </c>
      <c r="M75" s="47">
        <f t="shared" ref="M75:Y75" si="32">M74*$K$3/M3</f>
        <v>55683.002765652403</v>
      </c>
      <c r="N75" s="47">
        <f t="shared" si="32"/>
        <v>55243.617338708922</v>
      </c>
      <c r="O75" s="47">
        <f t="shared" si="32"/>
        <v>55199.317425530819</v>
      </c>
      <c r="P75" s="47">
        <f t="shared" si="32"/>
        <v>53289.875318902508</v>
      </c>
      <c r="Q75" s="47">
        <f t="shared" si="32"/>
        <v>55040.062429422578</v>
      </c>
      <c r="R75" s="47">
        <f t="shared" si="32"/>
        <v>54824.229951141446</v>
      </c>
      <c r="S75" s="47">
        <f t="shared" si="32"/>
        <v>53422.274247715184</v>
      </c>
      <c r="T75" s="47">
        <f t="shared" si="32"/>
        <v>52637.200450252858</v>
      </c>
      <c r="U75" s="47">
        <f t="shared" si="32"/>
        <v>50556.783568276936</v>
      </c>
      <c r="V75" s="47">
        <f t="shared" si="32"/>
        <v>48293.012031921055</v>
      </c>
      <c r="W75" s="47">
        <f t="shared" si="32"/>
        <v>49077.324926109322</v>
      </c>
      <c r="X75" s="47">
        <f t="shared" si="32"/>
        <v>49077.324926109322</v>
      </c>
      <c r="Y75" s="47">
        <f t="shared" si="32"/>
        <v>49077.324926109322</v>
      </c>
      <c r="Z75" s="47"/>
    </row>
    <row r="76" spans="1:26">
      <c r="A76" s="82" t="s">
        <v>677</v>
      </c>
      <c r="B76" s="81"/>
      <c r="C76" s="81"/>
      <c r="D76" s="83">
        <f t="shared" ref="D76" si="33">D74-D21-(D67-D68)</f>
        <v>58417.149286309395</v>
      </c>
      <c r="E76" s="83">
        <f t="shared" ref="E76" si="34">E74-E21-(E67-E68)</f>
        <v>57876.269366968627</v>
      </c>
      <c r="F76" s="83">
        <f t="shared" ref="F76" si="35">F74-F21-(F67-F68)</f>
        <v>57879.626289599619</v>
      </c>
      <c r="G76" s="83">
        <f t="shared" ref="G76" si="36">G74-G21-(G67-G68)</f>
        <v>56352.380212795091</v>
      </c>
      <c r="H76" s="83">
        <f t="shared" ref="H76:Y76" si="37">H74-H21-(H67-H68)</f>
        <v>56295.491652250574</v>
      </c>
      <c r="I76" s="83">
        <f t="shared" si="37"/>
        <v>56279.238198144216</v>
      </c>
      <c r="J76" s="47">
        <f t="shared" si="37"/>
        <v>53530.443905</v>
      </c>
      <c r="K76" s="47">
        <f t="shared" si="37"/>
        <v>53502.406446000001</v>
      </c>
      <c r="L76" s="47">
        <f t="shared" si="37"/>
        <v>52374.522468365998</v>
      </c>
      <c r="M76" s="47">
        <f t="shared" si="37"/>
        <v>51887.475510351709</v>
      </c>
      <c r="N76" s="47">
        <f t="shared" si="37"/>
        <v>50433.060674855369</v>
      </c>
      <c r="O76" s="47">
        <f t="shared" si="37"/>
        <v>48730.102731776351</v>
      </c>
      <c r="P76" s="47">
        <f t="shared" si="37"/>
        <v>46126.26939705883</v>
      </c>
      <c r="Q76" s="47">
        <f t="shared" si="37"/>
        <v>47948.868778064658</v>
      </c>
      <c r="R76" s="47">
        <f t="shared" si="37"/>
        <v>45974.718296170118</v>
      </c>
      <c r="S76" s="47">
        <f t="shared" si="37"/>
        <v>43545.566566407957</v>
      </c>
      <c r="T76" s="47">
        <f t="shared" si="37"/>
        <v>41583.045413400017</v>
      </c>
      <c r="U76" s="47">
        <f t="shared" si="37"/>
        <v>38568.114398166494</v>
      </c>
      <c r="V76" s="47">
        <f t="shared" si="37"/>
        <v>35810.293849011534</v>
      </c>
      <c r="W76" s="47">
        <f t="shared" si="37"/>
        <v>35646.973968211467</v>
      </c>
      <c r="X76" s="47">
        <f t="shared" si="37"/>
        <v>35164.426897703139</v>
      </c>
      <c r="Y76" s="47">
        <f t="shared" si="37"/>
        <v>34265.184285479634</v>
      </c>
      <c r="Z76" s="47"/>
    </row>
    <row r="77" spans="1:26">
      <c r="A77" s="81" t="s">
        <v>499</v>
      </c>
      <c r="B77" s="81"/>
      <c r="C77" s="81"/>
      <c r="D77" s="83">
        <f t="shared" ref="D77" si="38">D76*$K$3/D3</f>
        <v>55976.304085988246</v>
      </c>
      <c r="E77" s="83">
        <f t="shared" ref="E77" si="39">E76*$K$3/E3</f>
        <v>56012.604003415967</v>
      </c>
      <c r="F77" s="83">
        <f t="shared" ref="F77" si="40">F76*$K$3/F3</f>
        <v>56015.852830267737</v>
      </c>
      <c r="G77" s="83">
        <f t="shared" ref="G77:H77" si="41">G76*$K$3/G3</f>
        <v>55437.658841903685</v>
      </c>
      <c r="H77" s="83">
        <f t="shared" si="41"/>
        <v>55381.693706099919</v>
      </c>
      <c r="I77" s="83">
        <f t="shared" ref="I77" si="42">I76*$K$3/I3</f>
        <v>55365.704080810836</v>
      </c>
      <c r="J77" s="47">
        <f t="shared" ref="J77" si="43">J76*$K$3/J3</f>
        <v>53530.443905</v>
      </c>
      <c r="K77" s="47">
        <f t="shared" ref="K77" si="44">K76*$K$3/K3</f>
        <v>53502.406446000001</v>
      </c>
      <c r="L77" s="47">
        <f t="shared" ref="L77" si="45">L76*$K$3/L3</f>
        <v>53224.154006155659</v>
      </c>
      <c r="M77" s="47">
        <f t="shared" ref="M77:Y77" si="46">M76*$K$3/M3</f>
        <v>53501.600689904488</v>
      </c>
      <c r="N77" s="47">
        <f t="shared" si="46"/>
        <v>53078.037206056484</v>
      </c>
      <c r="O77" s="47">
        <f t="shared" si="46"/>
        <v>52904.656244238155</v>
      </c>
      <c r="P77" s="47">
        <f t="shared" si="46"/>
        <v>50899.174499940273</v>
      </c>
      <c r="Q77" s="47">
        <f t="shared" si="46"/>
        <v>52722.123660710931</v>
      </c>
      <c r="R77" s="47">
        <f t="shared" si="46"/>
        <v>52492.396972225499</v>
      </c>
      <c r="S77" s="47">
        <f t="shared" si="46"/>
        <v>51134.972739382851</v>
      </c>
      <c r="T77" s="47">
        <f t="shared" si="46"/>
        <v>50405.585097256706</v>
      </c>
      <c r="U77" s="47">
        <f t="shared" si="46"/>
        <v>48334.926194724248</v>
      </c>
      <c r="V77" s="47">
        <f t="shared" si="46"/>
        <v>46073.867896858166</v>
      </c>
      <c r="W77" s="47">
        <f t="shared" si="46"/>
        <v>46908.993721516606</v>
      </c>
      <c r="X77" s="47">
        <f t="shared" si="46"/>
        <v>47005.599247840022</v>
      </c>
      <c r="Y77" s="47">
        <f t="shared" si="46"/>
        <v>47106.901149078723</v>
      </c>
    </row>
    <row r="79" spans="1:26" ht="18.75">
      <c r="A79" s="41" t="s">
        <v>678</v>
      </c>
      <c r="B79" s="41"/>
      <c r="C79" s="41"/>
      <c r="D79" s="15">
        <f>D4</f>
        <v>2017</v>
      </c>
      <c r="E79" s="15">
        <f>E4</f>
        <v>2016</v>
      </c>
      <c r="F79" s="15">
        <f>F4</f>
        <v>2016</v>
      </c>
      <c r="G79" s="15">
        <f>G4</f>
        <v>2015</v>
      </c>
      <c r="H79" s="15">
        <f t="shared" ref="H79:W79" si="47">H18</f>
        <v>2015</v>
      </c>
      <c r="I79" s="15">
        <f t="shared" si="47"/>
        <v>2015</v>
      </c>
      <c r="J79" s="15">
        <f t="shared" si="47"/>
        <v>2014</v>
      </c>
      <c r="K79" s="15">
        <f t="shared" si="47"/>
        <v>2014</v>
      </c>
      <c r="L79" s="15">
        <f t="shared" si="47"/>
        <v>2013</v>
      </c>
      <c r="M79" s="15">
        <f t="shared" si="47"/>
        <v>2012</v>
      </c>
      <c r="N79" s="15">
        <f t="shared" si="47"/>
        <v>2011</v>
      </c>
      <c r="O79" s="15">
        <f t="shared" si="47"/>
        <v>2010</v>
      </c>
      <c r="P79" s="15">
        <f t="shared" si="47"/>
        <v>2009</v>
      </c>
      <c r="Q79" s="15">
        <f t="shared" si="47"/>
        <v>2008</v>
      </c>
      <c r="R79" s="15">
        <f t="shared" si="47"/>
        <v>2007</v>
      </c>
      <c r="S79" s="15">
        <f t="shared" si="47"/>
        <v>2006</v>
      </c>
      <c r="T79" s="15">
        <f t="shared" si="47"/>
        <v>2005</v>
      </c>
      <c r="U79" s="15">
        <f t="shared" si="47"/>
        <v>2004</v>
      </c>
      <c r="V79" s="15">
        <f t="shared" si="47"/>
        <v>2003</v>
      </c>
      <c r="W79" s="15">
        <f t="shared" si="47"/>
        <v>2002</v>
      </c>
      <c r="X79" s="47">
        <v>2001</v>
      </c>
      <c r="Y79" s="47">
        <v>2000</v>
      </c>
      <c r="Z79" s="47"/>
    </row>
    <row r="80" spans="1:26">
      <c r="A80" s="82" t="s">
        <v>635</v>
      </c>
      <c r="B80" s="81"/>
      <c r="C80" s="81"/>
      <c r="D80" s="78">
        <f>(D30-D20)/D75</f>
        <v>3.5038910550253148E-2</v>
      </c>
      <c r="E80" s="78">
        <f>(E30-E20)/E75</f>
        <v>3.3476703796992635E-2</v>
      </c>
      <c r="F80" s="78">
        <f t="shared" ref="F80:Y80" si="48">(F30-F20)/F75</f>
        <v>3.3374820366322597E-2</v>
      </c>
      <c r="G80" s="78">
        <f t="shared" si="48"/>
        <v>3.3663832766304032E-2</v>
      </c>
      <c r="H80" s="78">
        <f t="shared" si="48"/>
        <v>3.4323776462187525E-2</v>
      </c>
      <c r="I80" s="78">
        <f t="shared" si="48"/>
        <v>3.3235170186913299E-2</v>
      </c>
      <c r="J80" s="78">
        <f t="shared" si="48"/>
        <v>3.4410603395637458E-2</v>
      </c>
      <c r="K80" s="78">
        <f t="shared" si="48"/>
        <v>3.489602866822257E-2</v>
      </c>
      <c r="L80" s="78">
        <f t="shared" si="48"/>
        <v>3.3940322259266048E-2</v>
      </c>
      <c r="M80" s="78">
        <f t="shared" si="48"/>
        <v>3.3378541937341862E-2</v>
      </c>
      <c r="N80" s="78">
        <f t="shared" si="48"/>
        <v>3.2796650088619463E-2</v>
      </c>
      <c r="O80" s="78">
        <f t="shared" si="48"/>
        <v>3.3066822903055876E-2</v>
      </c>
      <c r="P80" s="78">
        <f t="shared" si="48"/>
        <v>3.5741473709490927E-2</v>
      </c>
      <c r="Q80" s="78">
        <f t="shared" si="48"/>
        <v>3.464744421890896E-2</v>
      </c>
      <c r="R80" s="78">
        <f t="shared" si="48"/>
        <v>3.5205994619382876E-2</v>
      </c>
      <c r="S80" s="78">
        <f t="shared" si="48"/>
        <v>3.6984705866382479E-2</v>
      </c>
      <c r="T80" s="78">
        <f t="shared" si="48"/>
        <v>3.4255339488518805E-2</v>
      </c>
      <c r="U80" s="78">
        <f t="shared" si="48"/>
        <v>3.3688085928192509E-2</v>
      </c>
      <c r="V80" s="78">
        <f t="shared" si="48"/>
        <v>3.4088875678390682E-2</v>
      </c>
      <c r="W80" s="78">
        <f t="shared" si="48"/>
        <v>3.2568036052024005E-2</v>
      </c>
      <c r="X80" s="78">
        <f t="shared" si="48"/>
        <v>3.1730956189257718E-2</v>
      </c>
      <c r="Y80" s="78">
        <f t="shared" si="48"/>
        <v>3.0901287192021197E-2</v>
      </c>
      <c r="Z80" s="47"/>
    </row>
    <row r="81" spans="1:26">
      <c r="A81" s="81" t="s">
        <v>494</v>
      </c>
      <c r="B81" s="81"/>
      <c r="C81" s="81"/>
      <c r="D81" s="78">
        <f t="shared" ref="D81:E81" si="49">D69/D75</f>
        <v>4.3423551655451441E-2</v>
      </c>
      <c r="E81" s="78">
        <f t="shared" si="49"/>
        <v>4.2829880957122951E-2</v>
      </c>
      <c r="F81" s="78">
        <f t="shared" ref="F81:Y81" si="50">F69/F75</f>
        <v>4.2829880957122951E-2</v>
      </c>
      <c r="G81" s="78">
        <f>H81</f>
        <v>4.393292071456769E-2</v>
      </c>
      <c r="H81" s="78">
        <f t="shared" si="50"/>
        <v>4.393292071456769E-2</v>
      </c>
      <c r="I81" s="78">
        <f t="shared" si="50"/>
        <v>4.3782978854558417E-2</v>
      </c>
      <c r="J81" s="1">
        <f t="shared" si="50"/>
        <v>4.3747570140643462E-2</v>
      </c>
      <c r="K81" s="1">
        <f t="shared" si="50"/>
        <v>4.4698523373671292E-2</v>
      </c>
      <c r="L81" s="1">
        <f t="shared" si="50"/>
        <v>4.3810174498212374E-2</v>
      </c>
      <c r="M81" s="1">
        <f t="shared" si="50"/>
        <v>4.1004389132619397E-2</v>
      </c>
      <c r="N81" s="1">
        <f t="shared" si="50"/>
        <v>4.0440880640016053E-2</v>
      </c>
      <c r="O81" s="1">
        <f t="shared" si="50"/>
        <v>4.124330741448224E-2</v>
      </c>
      <c r="P81" s="1">
        <f t="shared" si="50"/>
        <v>4.5072118574642064E-2</v>
      </c>
      <c r="Q81" s="1">
        <f t="shared" si="50"/>
        <v>4.2834058134272074E-2</v>
      </c>
      <c r="R81" s="1">
        <f t="shared" si="50"/>
        <v>4.2460126815396147E-2</v>
      </c>
      <c r="S81" s="1">
        <f t="shared" si="50"/>
        <v>4.1993658105162E-2</v>
      </c>
      <c r="T81" s="1">
        <f t="shared" si="50"/>
        <v>4.0701871089060669E-2</v>
      </c>
      <c r="U81" s="1">
        <f t="shared" si="50"/>
        <v>4.0422918002702361E-2</v>
      </c>
      <c r="V81" s="1">
        <f t="shared" si="50"/>
        <v>4.1986395712312059E-2</v>
      </c>
      <c r="W81" s="1">
        <f t="shared" si="50"/>
        <v>3.8731638718086665E-2</v>
      </c>
      <c r="X81" s="1">
        <f t="shared" si="50"/>
        <v>3.7487034481001082E-2</v>
      </c>
      <c r="Y81" s="1">
        <f t="shared" si="50"/>
        <v>3.5622833147012353E-2</v>
      </c>
      <c r="Z81" s="47"/>
    </row>
    <row r="82" spans="1:26">
      <c r="A82" s="82" t="s">
        <v>536</v>
      </c>
      <c r="B82" s="81"/>
      <c r="C82" s="81"/>
      <c r="D82" s="78">
        <f>D80+D81</f>
        <v>7.8462462205704589E-2</v>
      </c>
      <c r="E82" s="78">
        <f>E80+E81</f>
        <v>7.6306584754115586E-2</v>
      </c>
      <c r="F82" s="78">
        <f t="shared" ref="F82:Y82" si="51">F80+F81</f>
        <v>7.6204701323445548E-2</v>
      </c>
      <c r="G82" s="78">
        <f t="shared" si="51"/>
        <v>7.7596753480871722E-2</v>
      </c>
      <c r="H82" s="78">
        <f t="shared" si="51"/>
        <v>7.8256697176755208E-2</v>
      </c>
      <c r="I82" s="78">
        <f t="shared" si="51"/>
        <v>7.7018149041471723E-2</v>
      </c>
      <c r="J82" s="78">
        <f t="shared" si="51"/>
        <v>7.815817353628092E-2</v>
      </c>
      <c r="K82" s="78">
        <f t="shared" si="51"/>
        <v>7.9594552041893862E-2</v>
      </c>
      <c r="L82" s="78">
        <f t="shared" si="51"/>
        <v>7.7750496757478416E-2</v>
      </c>
      <c r="M82" s="78">
        <f t="shared" si="51"/>
        <v>7.4382931069961258E-2</v>
      </c>
      <c r="N82" s="78">
        <f t="shared" si="51"/>
        <v>7.3237530728635508E-2</v>
      </c>
      <c r="O82" s="78">
        <f t="shared" si="51"/>
        <v>7.4310130317538109E-2</v>
      </c>
      <c r="P82" s="78">
        <f t="shared" si="51"/>
        <v>8.0813592284132985E-2</v>
      </c>
      <c r="Q82" s="78">
        <f t="shared" si="51"/>
        <v>7.7481502353181034E-2</v>
      </c>
      <c r="R82" s="78">
        <f t="shared" si="51"/>
        <v>7.7666121434779023E-2</v>
      </c>
      <c r="S82" s="78">
        <f t="shared" si="51"/>
        <v>7.897836397154448E-2</v>
      </c>
      <c r="T82" s="78">
        <f t="shared" si="51"/>
        <v>7.4957210577579481E-2</v>
      </c>
      <c r="U82" s="78">
        <f t="shared" si="51"/>
        <v>7.411100393089487E-2</v>
      </c>
      <c r="V82" s="78">
        <f t="shared" si="51"/>
        <v>7.6075271390702748E-2</v>
      </c>
      <c r="W82" s="78">
        <f t="shared" si="51"/>
        <v>7.1299674770110677E-2</v>
      </c>
      <c r="X82" s="78">
        <f t="shared" si="51"/>
        <v>6.92179906702588E-2</v>
      </c>
      <c r="Y82" s="78">
        <f t="shared" si="51"/>
        <v>6.6524120339033543E-2</v>
      </c>
      <c r="Z82" s="47"/>
    </row>
    <row r="83" spans="1:26"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47"/>
      <c r="Y83" s="47"/>
      <c r="Z83" s="47"/>
    </row>
    <row r="84" spans="1:26"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47"/>
    </row>
    <row r="85" spans="1:26" ht="18.75">
      <c r="A85" s="41" t="s">
        <v>501</v>
      </c>
      <c r="B85" s="41"/>
      <c r="C85" s="41"/>
      <c r="D85" s="15">
        <f t="shared" ref="D85:E85" si="52">D4</f>
        <v>2017</v>
      </c>
      <c r="E85" s="15">
        <f t="shared" si="52"/>
        <v>2016</v>
      </c>
      <c r="F85" s="15">
        <f>F4</f>
        <v>2016</v>
      </c>
      <c r="G85" s="15">
        <f t="shared" ref="G85:H85" si="53">G4</f>
        <v>2015</v>
      </c>
      <c r="H85" s="15">
        <f t="shared" si="53"/>
        <v>2015</v>
      </c>
      <c r="I85" s="15">
        <f>I4</f>
        <v>2015</v>
      </c>
      <c r="J85" s="15">
        <f>J4</f>
        <v>2014</v>
      </c>
      <c r="K85" s="50">
        <v>2014</v>
      </c>
      <c r="L85" s="50">
        <v>2013</v>
      </c>
      <c r="M85" s="50">
        <v>2012</v>
      </c>
      <c r="N85" s="50">
        <v>2011</v>
      </c>
      <c r="O85" s="50">
        <v>2010</v>
      </c>
      <c r="P85" s="50">
        <v>2009</v>
      </c>
      <c r="Q85" s="50">
        <v>2008</v>
      </c>
      <c r="R85" s="50">
        <v>2007</v>
      </c>
      <c r="S85" s="50">
        <v>2006</v>
      </c>
      <c r="T85" s="50">
        <v>2005</v>
      </c>
      <c r="U85" s="50">
        <v>2004</v>
      </c>
      <c r="V85" s="50">
        <v>2003</v>
      </c>
      <c r="W85" s="50">
        <v>2002</v>
      </c>
      <c r="X85" s="50">
        <v>2001</v>
      </c>
      <c r="Y85" s="50">
        <v>2000</v>
      </c>
      <c r="Z85" s="47"/>
    </row>
    <row r="86" spans="1:26">
      <c r="A86" s="82" t="s">
        <v>537</v>
      </c>
      <c r="B86" s="81"/>
      <c r="C86" s="81"/>
      <c r="D86" s="78">
        <f t="shared" ref="D86" si="54">D6/D74</f>
        <v>4.1410319944709555E-2</v>
      </c>
      <c r="E86" s="78">
        <f t="shared" ref="E86" si="55">E6/E74</f>
        <v>3.9543568152321677E-2</v>
      </c>
      <c r="F86" s="78">
        <f t="shared" ref="F86" si="56">F6/F74</f>
        <v>3.9543568152321677E-2</v>
      </c>
      <c r="G86" s="78">
        <f t="shared" ref="G86" si="57">G6/G74</f>
        <v>3.9565146479083733E-2</v>
      </c>
      <c r="H86" s="78">
        <f t="shared" ref="H86:Y86" si="58">H6/H74</f>
        <v>3.9506717261077275E-2</v>
      </c>
      <c r="I86" s="78">
        <f t="shared" si="58"/>
        <v>3.9506717261077275E-2</v>
      </c>
      <c r="J86" s="1">
        <f t="shared" si="58"/>
        <v>3.9730717448168994E-2</v>
      </c>
      <c r="K86" s="1">
        <f t="shared" si="58"/>
        <v>3.9738617394362401E-2</v>
      </c>
      <c r="L86" s="1">
        <f t="shared" si="58"/>
        <v>3.9627324200566257E-2</v>
      </c>
      <c r="M86" s="1">
        <f t="shared" si="58"/>
        <v>3.9089838397962172E-2</v>
      </c>
      <c r="N86" s="1">
        <f t="shared" si="58"/>
        <v>4.0497969882424753E-2</v>
      </c>
      <c r="O86" s="1">
        <f t="shared" si="58"/>
        <v>4.5182385762108326E-2</v>
      </c>
      <c r="P86" s="1">
        <f t="shared" si="58"/>
        <v>4.6792644434705988E-2</v>
      </c>
      <c r="Q86" s="1">
        <f t="shared" si="58"/>
        <v>4.338527208334509E-2</v>
      </c>
      <c r="R86" s="1">
        <f t="shared" si="58"/>
        <v>4.5084035749585777E-2</v>
      </c>
      <c r="S86" s="1">
        <f t="shared" si="58"/>
        <v>4.6045034927004194E-2</v>
      </c>
      <c r="T86" s="1">
        <f t="shared" si="58"/>
        <v>4.5721498362852983E-2</v>
      </c>
      <c r="U86" s="1">
        <f t="shared" si="58"/>
        <v>4.6621757574235811E-2</v>
      </c>
      <c r="V86" s="1">
        <f t="shared" si="58"/>
        <v>4.7869697309361997E-2</v>
      </c>
      <c r="W86" s="1">
        <f t="shared" si="58"/>
        <v>4.3513187052418176E-2</v>
      </c>
      <c r="X86" s="1">
        <f t="shared" si="58"/>
        <v>3.9540235619466763E-2</v>
      </c>
      <c r="Y86" s="1">
        <f t="shared" si="58"/>
        <v>3.8541673149545146E-2</v>
      </c>
      <c r="Z86" s="47"/>
    </row>
    <row r="87" spans="1:26">
      <c r="A87" s="81" t="s">
        <v>502</v>
      </c>
      <c r="B87" s="81"/>
      <c r="C87" s="81"/>
      <c r="D87" s="77">
        <f t="shared" ref="D87" si="59">D6/D3*$K$3</f>
        <v>2387.6039012492834</v>
      </c>
      <c r="E87" s="77">
        <f t="shared" ref="E87" si="60">E6/E3*$K$3</f>
        <v>2279.972183645546</v>
      </c>
      <c r="F87" s="77">
        <f t="shared" ref="F87" si="61">F6/F3*$K$3</f>
        <v>2279.972183645546</v>
      </c>
      <c r="G87" s="77">
        <f t="shared" ref="G87" si="62">G6/G3*$K$3</f>
        <v>2281.2163299653112</v>
      </c>
      <c r="H87" s="77">
        <f t="shared" ref="H87:Y87" si="63">H6/H3*$K$3</f>
        <v>2277.8474637250738</v>
      </c>
      <c r="I87" s="77">
        <f t="shared" si="63"/>
        <v>2277.8474637250738</v>
      </c>
      <c r="J87" s="17">
        <f t="shared" si="63"/>
        <v>2216.1593090000001</v>
      </c>
      <c r="K87" s="17">
        <f t="shared" si="63"/>
        <v>2216.599964</v>
      </c>
      <c r="L87" s="17">
        <f t="shared" si="63"/>
        <v>2192.8582800584882</v>
      </c>
      <c r="M87" s="17">
        <f t="shared" si="63"/>
        <v>2176.6395796226329</v>
      </c>
      <c r="N87" s="17">
        <f t="shared" si="63"/>
        <v>2237.2543511792314</v>
      </c>
      <c r="O87" s="17">
        <f t="shared" si="63"/>
        <v>2494.0368537254012</v>
      </c>
      <c r="P87" s="17">
        <f t="shared" si="63"/>
        <v>2493.5741877672194</v>
      </c>
      <c r="Q87" s="17">
        <f t="shared" si="63"/>
        <v>2387.9280839847979</v>
      </c>
      <c r="R87" s="17">
        <f t="shared" si="63"/>
        <v>2471.6975430607722</v>
      </c>
      <c r="S87" s="17">
        <f t="shared" si="63"/>
        <v>2459.8304836160423</v>
      </c>
      <c r="T87" s="17">
        <f t="shared" si="63"/>
        <v>2406.6516742114004</v>
      </c>
      <c r="U87" s="17">
        <f t="shared" si="63"/>
        <v>2357.0461072533158</v>
      </c>
      <c r="V87" s="17">
        <f t="shared" si="63"/>
        <v>2311.7718681254378</v>
      </c>
      <c r="W87" s="17">
        <f t="shared" si="63"/>
        <v>2135.5108195420999</v>
      </c>
      <c r="X87" s="17">
        <f t="shared" si="63"/>
        <v>1940.5289911514919</v>
      </c>
      <c r="Y87" s="17">
        <f t="shared" si="63"/>
        <v>1891.5222163561305</v>
      </c>
      <c r="Z87" s="17"/>
    </row>
    <row r="88" spans="1:26">
      <c r="K88" s="48"/>
      <c r="L88" s="48"/>
      <c r="M88" s="48"/>
      <c r="N88" s="48"/>
      <c r="O88" s="48"/>
      <c r="P88" s="48"/>
      <c r="Q88" s="48"/>
      <c r="R88" s="48"/>
      <c r="S88" s="48"/>
      <c r="T88" s="48"/>
      <c r="U88" s="48"/>
      <c r="V88" s="48"/>
      <c r="W88" s="48"/>
      <c r="X88" s="48"/>
      <c r="Y88" s="48"/>
      <c r="Z88" s="47"/>
    </row>
  </sheetData>
  <hyperlinks>
    <hyperlink ref="J73" r:id="rId1"/>
  </hyperlinks>
  <pageMargins left="0.7" right="0.7" top="0.75" bottom="0.75" header="0.3" footer="0.3"/>
  <pageSetup scale="25"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AD253"/>
  <sheetViews>
    <sheetView workbookViewId="0">
      <pane xSplit="3" ySplit="4" topLeftCell="D78" activePane="bottomRight" state="frozen"/>
      <selection pane="topRight" activeCell="D1" sqref="D1"/>
      <selection pane="bottomLeft" activeCell="A5" sqref="A5"/>
      <selection pane="bottomRight" activeCell="A82" sqref="A82"/>
    </sheetView>
  </sheetViews>
  <sheetFormatPr defaultRowHeight="15"/>
  <cols>
    <col min="1" max="1" width="47.85546875" style="15" customWidth="1"/>
    <col min="2" max="2" width="8.7109375" style="15" bestFit="1" customWidth="1"/>
    <col min="3" max="3" width="8" style="15" bestFit="1" customWidth="1"/>
    <col min="4" max="4" width="14.7109375" style="15" customWidth="1"/>
    <col min="5" max="5" width="14.28515625" style="15" customWidth="1"/>
    <col min="6" max="7" width="14.5703125" style="15" customWidth="1"/>
    <col min="8" max="10" width="14.42578125" style="15" customWidth="1"/>
    <col min="11" max="15" width="14.28515625" style="15" bestFit="1" customWidth="1"/>
    <col min="16" max="16" width="14.5703125" style="15" bestFit="1" customWidth="1"/>
    <col min="17" max="18" width="14.28515625" style="15" bestFit="1" customWidth="1"/>
    <col min="19" max="20" width="14.5703125" style="15" bestFit="1" customWidth="1"/>
    <col min="21" max="21" width="14.42578125" style="15" bestFit="1" customWidth="1"/>
    <col min="22" max="22" width="14.5703125" style="15" bestFit="1" customWidth="1"/>
    <col min="23" max="26" width="15" style="15" customWidth="1"/>
    <col min="27" max="27" width="9.140625" style="15"/>
    <col min="28" max="30" width="14.5703125" style="15" bestFit="1" customWidth="1"/>
    <col min="31" max="16384" width="9.140625" style="15"/>
  </cols>
  <sheetData>
    <row r="1" spans="1:30">
      <c r="A1" s="21" t="s">
        <v>644</v>
      </c>
      <c r="D1" t="s">
        <v>590</v>
      </c>
      <c r="E1" t="s">
        <v>662</v>
      </c>
      <c r="F1" s="71"/>
      <c r="G1" s="71"/>
      <c r="H1"/>
      <c r="I1"/>
      <c r="J1"/>
    </row>
    <row r="2" spans="1:30">
      <c r="A2" s="21" t="s">
        <v>625</v>
      </c>
      <c r="D2" s="15">
        <f>'Rev and Major Expenditures'!D3</f>
        <v>247.05904070392211</v>
      </c>
      <c r="E2" s="15">
        <f>'Rev and Major Expenditures'!E3</f>
        <v>244.6129115880417</v>
      </c>
      <c r="F2" s="15">
        <f>'Rev and Major Expenditures'!F3</f>
        <v>244.6129115880417</v>
      </c>
      <c r="G2" s="15">
        <f>H2</f>
        <v>240.6423134166667</v>
      </c>
      <c r="H2" s="15">
        <f>'Rev and Major Expenditures'!H3</f>
        <v>240.6423134166667</v>
      </c>
      <c r="I2" s="15">
        <f>'Rev and Major Expenditures'!I3</f>
        <v>240.6423134166667</v>
      </c>
      <c r="J2" s="15">
        <f>'Rev and Major Expenditures'!J3</f>
        <v>236.73616666666669</v>
      </c>
      <c r="K2" s="15">
        <f>'Rev and Major Expenditures'!K3</f>
        <v>236.73616666666669</v>
      </c>
      <c r="L2" s="15">
        <f>'Rev and Major Expenditures'!L3</f>
        <v>232.95708333333334</v>
      </c>
      <c r="M2" s="15">
        <f>'Rev and Major Expenditures'!M3</f>
        <v>229.5939166666667</v>
      </c>
      <c r="N2" s="15">
        <f>'Rev and Major Expenditures'!N3</f>
        <v>224.93916666666667</v>
      </c>
      <c r="O2" s="15">
        <f>'Rev and Major Expenditures'!O3</f>
        <v>218.05600000000001</v>
      </c>
      <c r="P2" s="15">
        <f>'Rev and Major Expenditures'!P3</f>
        <v>214.53700000000001</v>
      </c>
      <c r="Q2" s="15">
        <f>'Rev and Major Expenditures'!Q3</f>
        <v>215.303</v>
      </c>
      <c r="R2" s="15">
        <f>'Rev and Major Expenditures'!R3</f>
        <v>207.34200000000001</v>
      </c>
      <c r="S2" s="15">
        <f>'Rev and Major Expenditures'!S3</f>
        <v>201.6</v>
      </c>
      <c r="T2" s="15">
        <f>'Rev and Major Expenditures'!T3</f>
        <v>195.3</v>
      </c>
      <c r="U2" s="15">
        <f>'Rev and Major Expenditures'!U3</f>
        <v>188.9</v>
      </c>
      <c r="V2" s="15">
        <f>'Rev and Major Expenditures'!V3</f>
        <v>184</v>
      </c>
      <c r="W2" s="15">
        <f>'Rev and Major Expenditures'!W3</f>
        <v>179.9</v>
      </c>
      <c r="X2" s="15">
        <f>'Rev and Major Expenditures'!X3</f>
        <v>177.1</v>
      </c>
      <c r="Y2" s="15">
        <f>'Rev and Major Expenditures'!Y3</f>
        <v>172.2</v>
      </c>
      <c r="Z2" s="15">
        <f>'Rev and Major Expenditures'!Z3</f>
        <v>166.6</v>
      </c>
      <c r="AB2" s="15" t="e">
        <f>'Rev and Major Expenditures'!#REF!</f>
        <v>#REF!</v>
      </c>
      <c r="AC2" s="15" t="e">
        <f>AD2</f>
        <v>#REF!</v>
      </c>
      <c r="AD2" s="15" t="e">
        <f>AB2</f>
        <v>#REF!</v>
      </c>
    </row>
    <row r="3" spans="1:30" ht="45">
      <c r="A3" s="90" t="s">
        <v>333</v>
      </c>
      <c r="B3" s="91" t="s">
        <v>355</v>
      </c>
      <c r="C3" s="91" t="s">
        <v>356</v>
      </c>
      <c r="D3" s="81">
        <v>2017</v>
      </c>
      <c r="E3" s="81">
        <v>2016</v>
      </c>
      <c r="F3" s="81">
        <v>2016</v>
      </c>
      <c r="G3" s="81">
        <v>2015</v>
      </c>
      <c r="H3" s="81">
        <v>2015</v>
      </c>
      <c r="I3" s="81">
        <v>2015</v>
      </c>
      <c r="J3" s="15">
        <v>2014</v>
      </c>
      <c r="K3" s="15">
        <v>2014</v>
      </c>
      <c r="L3" s="15">
        <v>2013</v>
      </c>
      <c r="M3" s="15">
        <v>2012</v>
      </c>
      <c r="N3" s="15">
        <v>2011</v>
      </c>
      <c r="O3" s="15">
        <v>2010</v>
      </c>
      <c r="P3" s="15">
        <v>2009</v>
      </c>
      <c r="Q3" s="15">
        <v>2008</v>
      </c>
      <c r="R3" s="15">
        <v>2007</v>
      </c>
      <c r="S3" s="15">
        <v>2006</v>
      </c>
      <c r="T3" s="15">
        <v>2005</v>
      </c>
      <c r="U3" s="15">
        <v>2004</v>
      </c>
      <c r="V3" s="15">
        <v>2003</v>
      </c>
      <c r="W3" s="15">
        <v>2002</v>
      </c>
      <c r="X3" s="15">
        <v>2001</v>
      </c>
      <c r="Y3" s="15">
        <v>2000</v>
      </c>
      <c r="Z3" s="15">
        <v>1999</v>
      </c>
      <c r="AB3" s="15">
        <v>2015</v>
      </c>
      <c r="AC3" s="22">
        <v>2015</v>
      </c>
      <c r="AD3" s="22">
        <v>2015</v>
      </c>
    </row>
    <row r="4" spans="1:30">
      <c r="A4" s="90" t="s">
        <v>334</v>
      </c>
      <c r="B4" s="92"/>
      <c r="C4" s="92"/>
      <c r="D4" s="82" t="s">
        <v>329</v>
      </c>
      <c r="E4" s="93" t="s">
        <v>376</v>
      </c>
      <c r="F4" s="82" t="s">
        <v>329</v>
      </c>
      <c r="G4" s="82" t="s">
        <v>1</v>
      </c>
      <c r="H4" s="82" t="s">
        <v>29</v>
      </c>
      <c r="I4" s="82" t="s">
        <v>376</v>
      </c>
      <c r="J4" t="s">
        <v>1</v>
      </c>
      <c r="K4" s="15" t="s">
        <v>29</v>
      </c>
      <c r="L4" s="15" t="s">
        <v>1</v>
      </c>
      <c r="M4" s="15" t="s">
        <v>1</v>
      </c>
      <c r="N4" s="15" t="s">
        <v>1</v>
      </c>
      <c r="O4" s="15" t="s">
        <v>1</v>
      </c>
      <c r="P4" s="15" t="s">
        <v>1</v>
      </c>
      <c r="Q4" s="15" t="s">
        <v>1</v>
      </c>
      <c r="R4" s="15" t="s">
        <v>1</v>
      </c>
      <c r="S4" s="15" t="s">
        <v>1</v>
      </c>
      <c r="T4" s="15" t="s">
        <v>1</v>
      </c>
      <c r="U4" s="15" t="s">
        <v>1</v>
      </c>
      <c r="V4" s="15" t="s">
        <v>1</v>
      </c>
      <c r="W4" s="15" t="s">
        <v>1</v>
      </c>
      <c r="X4" s="15" t="s">
        <v>1</v>
      </c>
      <c r="Y4" s="15" t="s">
        <v>1</v>
      </c>
      <c r="Z4" s="15" t="s">
        <v>1</v>
      </c>
      <c r="AB4" s="15" t="s">
        <v>376</v>
      </c>
      <c r="AC4" s="24" t="s">
        <v>376</v>
      </c>
      <c r="AD4" s="24" t="s">
        <v>329</v>
      </c>
    </row>
    <row r="5" spans="1:30">
      <c r="A5" s="94"/>
      <c r="B5" s="94"/>
      <c r="C5" s="94"/>
      <c r="D5" s="94"/>
      <c r="E5" s="95"/>
      <c r="F5" s="81"/>
      <c r="G5" s="81"/>
      <c r="H5" s="81"/>
      <c r="I5" s="81"/>
      <c r="L5" s="26"/>
      <c r="M5" s="26"/>
      <c r="N5" s="26"/>
      <c r="O5" s="17"/>
      <c r="P5" s="17"/>
      <c r="Q5" s="17"/>
      <c r="R5" s="25"/>
      <c r="S5" s="17"/>
      <c r="T5" s="17"/>
      <c r="U5" s="17"/>
      <c r="V5" s="17"/>
      <c r="W5" s="17"/>
      <c r="X5" s="17"/>
      <c r="Y5" s="17"/>
      <c r="Z5" s="17"/>
      <c r="AB5" s="27"/>
    </row>
    <row r="6" spans="1:30">
      <c r="A6" s="96" t="s">
        <v>491</v>
      </c>
      <c r="B6" s="77"/>
      <c r="C6" s="77"/>
      <c r="D6" s="77">
        <v>84943436</v>
      </c>
      <c r="E6" s="77">
        <v>75915037</v>
      </c>
      <c r="F6" s="97">
        <v>83301192</v>
      </c>
      <c r="G6" s="77">
        <v>156391257</v>
      </c>
      <c r="H6" s="97">
        <v>156391257</v>
      </c>
      <c r="I6" s="97">
        <v>81677126</v>
      </c>
      <c r="J6" s="27">
        <v>182807766</v>
      </c>
      <c r="K6" s="27">
        <v>182807766</v>
      </c>
      <c r="L6" s="27">
        <v>209439502</v>
      </c>
      <c r="M6" s="17">
        <v>236235961</v>
      </c>
      <c r="N6" s="17">
        <v>240276899</v>
      </c>
      <c r="O6" s="17">
        <v>185385547</v>
      </c>
      <c r="P6" s="17">
        <v>161392634</v>
      </c>
      <c r="Q6" s="17">
        <v>184198079</v>
      </c>
      <c r="R6" s="17">
        <v>168890407</v>
      </c>
      <c r="S6" s="17">
        <v>177532148</v>
      </c>
      <c r="T6" s="17">
        <v>152344354</v>
      </c>
      <c r="U6" s="17">
        <v>118894312</v>
      </c>
      <c r="V6" s="17">
        <v>94569059</v>
      </c>
      <c r="W6" s="17">
        <v>84169489</v>
      </c>
      <c r="X6" s="17">
        <v>88484891</v>
      </c>
      <c r="Y6" s="17">
        <v>95145739</v>
      </c>
      <c r="Z6" s="17">
        <v>84412029</v>
      </c>
      <c r="AB6" s="27">
        <v>81677126</v>
      </c>
      <c r="AC6" s="27">
        <v>81677126</v>
      </c>
      <c r="AD6" s="27">
        <v>110967311</v>
      </c>
    </row>
    <row r="7" spans="1:30">
      <c r="A7" s="77"/>
      <c r="B7" s="77"/>
      <c r="C7" s="77"/>
      <c r="D7" s="77"/>
      <c r="E7" s="77"/>
      <c r="F7" s="81"/>
      <c r="G7" s="77"/>
      <c r="H7" s="81"/>
      <c r="I7" s="81"/>
      <c r="K7" s="27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17"/>
      <c r="Z7" s="17"/>
      <c r="AB7" s="27"/>
      <c r="AC7" s="27"/>
      <c r="AD7" s="27"/>
    </row>
    <row r="8" spans="1:30">
      <c r="A8" s="96" t="s">
        <v>524</v>
      </c>
      <c r="B8" s="77"/>
      <c r="C8" s="77"/>
      <c r="F8" s="81"/>
      <c r="H8" s="81"/>
      <c r="I8" s="81"/>
      <c r="M8" s="17"/>
      <c r="N8" s="17"/>
      <c r="O8" s="17"/>
      <c r="P8" s="17"/>
      <c r="Q8" s="17"/>
      <c r="S8" s="17"/>
      <c r="T8" s="17"/>
      <c r="U8" s="17"/>
      <c r="V8" s="17"/>
      <c r="W8" s="17"/>
      <c r="X8" s="17"/>
      <c r="Y8" s="17"/>
      <c r="Z8" s="17"/>
      <c r="AB8" s="27"/>
      <c r="AC8" s="27"/>
      <c r="AD8" s="27"/>
    </row>
    <row r="9" spans="1:30">
      <c r="A9" s="77" t="s">
        <v>2</v>
      </c>
      <c r="B9" s="77"/>
      <c r="C9" s="77"/>
      <c r="D9" s="77">
        <v>2600366481</v>
      </c>
      <c r="E9" s="77">
        <v>2434215819</v>
      </c>
      <c r="F9" s="97">
        <v>2434215819</v>
      </c>
      <c r="G9" s="77">
        <v>2357117530</v>
      </c>
      <c r="H9" s="97">
        <v>2353636574</v>
      </c>
      <c r="I9" s="97">
        <v>2353636574</v>
      </c>
      <c r="J9" s="27">
        <v>2216159309</v>
      </c>
      <c r="K9" s="27">
        <v>2216599964</v>
      </c>
      <c r="L9" s="27">
        <v>2123406700</v>
      </c>
      <c r="M9" s="17">
        <v>2047283817</v>
      </c>
      <c r="N9" s="17">
        <v>2019836905</v>
      </c>
      <c r="O9" s="17">
        <v>2115971076</v>
      </c>
      <c r="P9" s="17">
        <v>2047846868</v>
      </c>
      <c r="Q9" s="17">
        <v>1975114074</v>
      </c>
      <c r="R9" s="17">
        <v>1896010205</v>
      </c>
      <c r="S9" s="17">
        <v>1783844578</v>
      </c>
      <c r="T9" s="17">
        <v>1637904220</v>
      </c>
      <c r="U9" s="17">
        <v>1500730717</v>
      </c>
      <c r="V9" s="17">
        <v>1396533630</v>
      </c>
      <c r="W9" s="17">
        <v>1233203875</v>
      </c>
      <c r="X9" s="17">
        <v>1085995525</v>
      </c>
      <c r="Y9" s="17">
        <v>1000802816</v>
      </c>
      <c r="Z9" s="17">
        <v>943374446</v>
      </c>
      <c r="AB9" s="27">
        <v>2353636574</v>
      </c>
      <c r="AC9" s="27">
        <v>2353636574</v>
      </c>
      <c r="AD9" s="27">
        <v>2342831045</v>
      </c>
    </row>
    <row r="10" spans="1:30" ht="17.25">
      <c r="A10" s="77" t="s">
        <v>515</v>
      </c>
      <c r="B10" s="77"/>
      <c r="C10" s="77"/>
      <c r="D10" s="77">
        <v>383274181</v>
      </c>
      <c r="E10" s="77">
        <v>369389423</v>
      </c>
      <c r="F10" s="97">
        <v>369389423</v>
      </c>
      <c r="G10" s="77">
        <v>370292221</v>
      </c>
      <c r="H10" s="97">
        <v>362626591</v>
      </c>
      <c r="I10" s="97">
        <v>362992495</v>
      </c>
      <c r="J10" s="27">
        <v>360131630</v>
      </c>
      <c r="K10" s="27">
        <v>354308292</v>
      </c>
      <c r="L10" s="27">
        <v>353633268</v>
      </c>
      <c r="M10" s="17">
        <v>316918241</v>
      </c>
      <c r="N10" s="17">
        <v>301972456</v>
      </c>
      <c r="O10" s="17">
        <v>296171622</v>
      </c>
      <c r="P10" s="17">
        <v>316413436</v>
      </c>
      <c r="Q10" s="17">
        <v>307866456</v>
      </c>
      <c r="R10" s="17">
        <v>310006170</v>
      </c>
      <c r="S10" s="17">
        <v>289713506</v>
      </c>
      <c r="T10" s="17">
        <v>279896351</v>
      </c>
      <c r="U10" s="17">
        <v>274709246</v>
      </c>
      <c r="V10" s="17">
        <v>271061149</v>
      </c>
      <c r="W10" s="17">
        <v>282889998</v>
      </c>
      <c r="X10" s="17">
        <v>317487645</v>
      </c>
      <c r="Y10" s="17">
        <v>335925075</v>
      </c>
      <c r="Z10" s="17">
        <v>367914532</v>
      </c>
      <c r="AB10" s="27">
        <v>362992495</v>
      </c>
      <c r="AC10" s="27">
        <v>362992495</v>
      </c>
      <c r="AD10" s="27">
        <v>368833524</v>
      </c>
    </row>
    <row r="11" spans="1:30">
      <c r="A11" s="77" t="s">
        <v>3</v>
      </c>
      <c r="B11" s="77"/>
      <c r="C11" s="77"/>
      <c r="D11" s="77">
        <v>510976755</v>
      </c>
      <c r="E11" s="77">
        <v>495137332</v>
      </c>
      <c r="F11" s="97">
        <v>495137332</v>
      </c>
      <c r="G11" s="77">
        <v>506567278</v>
      </c>
      <c r="H11" s="97">
        <v>488355945</v>
      </c>
      <c r="I11" s="97">
        <v>497075274</v>
      </c>
      <c r="J11" s="27">
        <v>514822178</v>
      </c>
      <c r="K11" s="27">
        <v>521969977</v>
      </c>
      <c r="L11" s="27">
        <v>530960414</v>
      </c>
      <c r="M11" s="17">
        <v>517375740</v>
      </c>
      <c r="N11" s="17">
        <v>505517224</v>
      </c>
      <c r="O11" s="17">
        <v>460148029</v>
      </c>
      <c r="P11" s="17">
        <v>460416709</v>
      </c>
      <c r="Q11" s="17">
        <v>474030041</v>
      </c>
      <c r="R11" s="17">
        <v>480451990</v>
      </c>
      <c r="S11" s="17">
        <v>498105451</v>
      </c>
      <c r="T11" s="17">
        <v>463173399</v>
      </c>
      <c r="U11" s="17">
        <v>408231887</v>
      </c>
      <c r="V11" s="17">
        <v>373594301</v>
      </c>
      <c r="W11" s="17">
        <v>360262632</v>
      </c>
      <c r="X11" s="17">
        <v>360365264</v>
      </c>
      <c r="Y11" s="17">
        <v>343196780</v>
      </c>
      <c r="Z11" s="17">
        <v>317892559</v>
      </c>
      <c r="AB11" s="27">
        <v>497075274</v>
      </c>
      <c r="AC11" s="27">
        <v>497075274</v>
      </c>
      <c r="AD11" s="27">
        <v>502081550</v>
      </c>
    </row>
    <row r="12" spans="1:30">
      <c r="A12" s="77" t="s">
        <v>4</v>
      </c>
      <c r="B12" s="77"/>
      <c r="C12" s="77"/>
      <c r="D12" s="77">
        <v>47384162</v>
      </c>
      <c r="E12" s="77">
        <v>45572818</v>
      </c>
      <c r="F12" s="97">
        <v>45572818</v>
      </c>
      <c r="G12" s="77">
        <v>45545990</v>
      </c>
      <c r="H12" s="97">
        <v>39802168</v>
      </c>
      <c r="I12" s="97">
        <v>39438395</v>
      </c>
      <c r="J12" s="27">
        <v>39351756</v>
      </c>
      <c r="K12" s="27">
        <v>38688569</v>
      </c>
      <c r="L12" s="27">
        <v>38201352</v>
      </c>
      <c r="M12" s="17">
        <v>36843892</v>
      </c>
      <c r="N12" s="17">
        <v>34267179</v>
      </c>
      <c r="O12" s="17">
        <v>28665677</v>
      </c>
      <c r="P12" s="17">
        <v>24494049</v>
      </c>
      <c r="Q12" s="17">
        <v>26719184</v>
      </c>
      <c r="R12" s="17">
        <v>30778483</v>
      </c>
      <c r="S12" s="17">
        <v>31621985</v>
      </c>
      <c r="T12" s="17">
        <v>27961574</v>
      </c>
      <c r="U12" s="17">
        <v>28675370</v>
      </c>
      <c r="V12" s="17">
        <v>27743163</v>
      </c>
      <c r="W12" s="17">
        <v>28609183</v>
      </c>
      <c r="X12" s="17">
        <v>31908008</v>
      </c>
      <c r="Y12" s="17">
        <v>33654184</v>
      </c>
      <c r="Z12" s="17">
        <v>32873856</v>
      </c>
      <c r="AB12" s="27">
        <v>39438395</v>
      </c>
      <c r="AC12" s="27">
        <v>39438395</v>
      </c>
      <c r="AD12" s="27">
        <v>39438395</v>
      </c>
    </row>
    <row r="13" spans="1:30">
      <c r="A13" s="77" t="s">
        <v>5</v>
      </c>
      <c r="B13" s="77"/>
      <c r="C13" s="77"/>
      <c r="D13" s="77">
        <v>12443009</v>
      </c>
      <c r="E13" s="77">
        <v>13348086</v>
      </c>
      <c r="F13" s="97">
        <v>13348086</v>
      </c>
      <c r="G13" s="77">
        <v>13115761</v>
      </c>
      <c r="H13" s="97">
        <v>13348086</v>
      </c>
      <c r="I13" s="97">
        <v>14235071</v>
      </c>
      <c r="J13" s="27">
        <v>14073583</v>
      </c>
      <c r="K13" s="27">
        <v>14217784</v>
      </c>
      <c r="L13" s="27">
        <v>14131523</v>
      </c>
      <c r="M13" s="17">
        <v>14084487</v>
      </c>
      <c r="N13" s="17">
        <v>16563245</v>
      </c>
      <c r="O13" s="17">
        <v>14942650</v>
      </c>
      <c r="P13" s="17">
        <v>16444077</v>
      </c>
      <c r="Q13" s="17">
        <v>14873179</v>
      </c>
      <c r="R13" s="17">
        <v>14834607</v>
      </c>
      <c r="S13" s="17">
        <v>15077117</v>
      </c>
      <c r="T13" s="17">
        <v>15523328</v>
      </c>
      <c r="U13" s="17">
        <v>13272803</v>
      </c>
      <c r="V13" s="17">
        <v>11046988</v>
      </c>
      <c r="W13" s="17">
        <v>10318703</v>
      </c>
      <c r="X13" s="17">
        <v>9116533</v>
      </c>
      <c r="Y13" s="17">
        <v>7579871</v>
      </c>
      <c r="Z13" s="17">
        <v>7139633</v>
      </c>
      <c r="AB13" s="27">
        <v>14235071</v>
      </c>
      <c r="AC13" s="27">
        <v>14235071</v>
      </c>
      <c r="AD13" s="27">
        <v>14235071</v>
      </c>
    </row>
    <row r="14" spans="1:30">
      <c r="A14" s="77" t="s">
        <v>6</v>
      </c>
      <c r="B14" s="77"/>
      <c r="C14" s="77"/>
      <c r="D14" s="77">
        <v>22582955</v>
      </c>
      <c r="E14" s="77">
        <v>21003774</v>
      </c>
      <c r="F14" s="97">
        <v>21003774</v>
      </c>
      <c r="G14" s="77">
        <v>15118488</v>
      </c>
      <c r="H14" s="97">
        <v>15238034</v>
      </c>
      <c r="I14" s="97">
        <v>14221937</v>
      </c>
      <c r="J14" s="27">
        <v>15234796</v>
      </c>
      <c r="K14" s="27">
        <v>14963799</v>
      </c>
      <c r="L14" s="27">
        <v>17511082</v>
      </c>
      <c r="M14" s="17">
        <v>18402588</v>
      </c>
      <c r="N14" s="17">
        <v>18808108</v>
      </c>
      <c r="O14" s="17">
        <v>21816673</v>
      </c>
      <c r="P14" s="17">
        <v>40013890</v>
      </c>
      <c r="Q14" s="17">
        <v>81578187</v>
      </c>
      <c r="R14" s="17">
        <v>95618646</v>
      </c>
      <c r="S14" s="17">
        <v>73226569</v>
      </c>
      <c r="T14" s="17">
        <v>30198542</v>
      </c>
      <c r="U14" s="17">
        <v>17917632</v>
      </c>
      <c r="V14" s="17">
        <v>20742288</v>
      </c>
      <c r="W14" s="17">
        <v>28233572</v>
      </c>
      <c r="X14" s="17">
        <v>58939714</v>
      </c>
      <c r="Y14" s="17">
        <v>49580688</v>
      </c>
      <c r="Z14" s="17">
        <v>48008060</v>
      </c>
      <c r="AB14" s="27">
        <v>14221937</v>
      </c>
      <c r="AC14" s="27">
        <v>14221937</v>
      </c>
      <c r="AD14" s="27">
        <v>14221937</v>
      </c>
    </row>
    <row r="15" spans="1:30">
      <c r="A15" s="77" t="s">
        <v>7</v>
      </c>
      <c r="B15" s="77"/>
      <c r="C15" s="77"/>
      <c r="D15" s="77">
        <v>76031208</v>
      </c>
      <c r="E15" s="77">
        <v>74616185</v>
      </c>
      <c r="F15" s="97">
        <v>74549380</v>
      </c>
      <c r="G15" s="77">
        <v>72911452</v>
      </c>
      <c r="H15" s="97">
        <v>73422479</v>
      </c>
      <c r="I15" s="97">
        <v>77379473</v>
      </c>
      <c r="J15" s="27">
        <v>71318911</v>
      </c>
      <c r="K15" s="27">
        <v>74509001</v>
      </c>
      <c r="L15" s="27">
        <v>72674073</v>
      </c>
      <c r="M15" s="17">
        <v>69627663</v>
      </c>
      <c r="N15" s="17">
        <v>64096781</v>
      </c>
      <c r="O15" s="17">
        <v>62980797</v>
      </c>
      <c r="P15" s="17">
        <v>61862075</v>
      </c>
      <c r="Q15" s="17">
        <v>57965028</v>
      </c>
      <c r="R15" s="17">
        <v>58088619</v>
      </c>
      <c r="S15" s="17">
        <v>57537996</v>
      </c>
      <c r="T15" s="17">
        <v>47537672</v>
      </c>
      <c r="U15" s="17">
        <v>42529744</v>
      </c>
      <c r="V15" s="17">
        <v>40549148</v>
      </c>
      <c r="W15" s="17">
        <v>35241909</v>
      </c>
      <c r="X15" s="17">
        <v>32751935</v>
      </c>
      <c r="Y15" s="17">
        <v>29572596</v>
      </c>
      <c r="Z15" s="17">
        <v>30792411</v>
      </c>
      <c r="AB15" s="27">
        <v>77379473</v>
      </c>
      <c r="AC15" s="27">
        <v>77379473</v>
      </c>
      <c r="AD15" s="27">
        <v>76479473</v>
      </c>
    </row>
    <row r="16" spans="1:30" ht="17.25">
      <c r="A16" s="77" t="s">
        <v>516</v>
      </c>
      <c r="B16" s="77"/>
      <c r="C16" s="77"/>
      <c r="D16" s="77">
        <v>308650318</v>
      </c>
      <c r="E16" s="77">
        <v>309599935</v>
      </c>
      <c r="F16" s="97">
        <v>306867316</v>
      </c>
      <c r="G16" s="77">
        <v>300717720</v>
      </c>
      <c r="H16" s="97">
        <v>306593552</v>
      </c>
      <c r="I16" s="97">
        <v>306785768</v>
      </c>
      <c r="J16" s="27">
        <v>303665068</v>
      </c>
      <c r="K16" s="27">
        <v>307463703</v>
      </c>
      <c r="L16" s="27">
        <v>301125920</v>
      </c>
      <c r="M16" s="17">
        <v>304693149</v>
      </c>
      <c r="N16" s="17">
        <v>309027234</v>
      </c>
      <c r="O16" s="17">
        <v>295694307</v>
      </c>
      <c r="P16" s="17">
        <v>317125695</v>
      </c>
      <c r="Q16" s="17">
        <v>312433381</v>
      </c>
      <c r="R16" s="17">
        <v>303283509</v>
      </c>
      <c r="S16" s="17">
        <v>297739216</v>
      </c>
      <c r="T16" s="17">
        <v>277943784</v>
      </c>
      <c r="U16" s="17">
        <v>282721787</v>
      </c>
      <c r="V16" s="17">
        <v>275111331</v>
      </c>
      <c r="W16" s="17">
        <v>277978231</v>
      </c>
      <c r="X16" s="17">
        <v>202488873</v>
      </c>
      <c r="Y16" s="17">
        <v>146751560</v>
      </c>
      <c r="Z16" s="17">
        <v>72247281</v>
      </c>
      <c r="AB16" s="27">
        <v>306785768</v>
      </c>
      <c r="AC16" s="27">
        <v>306785768</v>
      </c>
      <c r="AD16" s="27">
        <v>306785768</v>
      </c>
    </row>
    <row r="17" spans="1:30">
      <c r="A17" s="77" t="s">
        <v>8</v>
      </c>
      <c r="B17" s="77"/>
      <c r="C17" s="77"/>
      <c r="D17" s="77">
        <v>29979502</v>
      </c>
      <c r="E17" s="77">
        <v>29289909</v>
      </c>
      <c r="F17" s="97">
        <v>28961963</v>
      </c>
      <c r="G17" s="77">
        <v>36351177</v>
      </c>
      <c r="H17" s="97">
        <v>28590299</v>
      </c>
      <c r="I17" s="97">
        <v>27473750</v>
      </c>
      <c r="J17" s="27">
        <v>33497927</v>
      </c>
      <c r="K17" s="27">
        <v>26576620</v>
      </c>
      <c r="L17" s="27">
        <v>31152805</v>
      </c>
      <c r="M17" s="17">
        <v>40215942</v>
      </c>
      <c r="N17" s="17">
        <v>38419114</v>
      </c>
      <c r="O17" s="17">
        <v>48278483</v>
      </c>
      <c r="P17" s="17">
        <v>38598177</v>
      </c>
      <c r="Q17" s="17">
        <v>35679427</v>
      </c>
      <c r="R17" s="17">
        <v>40081951</v>
      </c>
      <c r="S17" s="17">
        <v>48017612</v>
      </c>
      <c r="T17" s="17">
        <v>46015530</v>
      </c>
      <c r="U17" s="17">
        <v>56634187</v>
      </c>
      <c r="V17" s="17">
        <v>46997511</v>
      </c>
      <c r="W17" s="17">
        <v>37674830</v>
      </c>
      <c r="X17" s="17">
        <v>36885800</v>
      </c>
      <c r="Y17" s="17">
        <v>34214150</v>
      </c>
      <c r="Z17" s="17">
        <v>31201261</v>
      </c>
      <c r="AB17" s="27">
        <v>27473750</v>
      </c>
      <c r="AC17" s="27">
        <v>27473750</v>
      </c>
      <c r="AD17" s="27">
        <v>27473750</v>
      </c>
    </row>
    <row r="18" spans="1:30">
      <c r="A18" s="77" t="s">
        <v>9</v>
      </c>
      <c r="B18" s="77"/>
      <c r="C18" s="77"/>
      <c r="D18" s="77">
        <v>16425616</v>
      </c>
      <c r="E18" s="77">
        <v>18334374</v>
      </c>
      <c r="F18" s="97">
        <v>18334374</v>
      </c>
      <c r="G18" s="77">
        <v>20126106</v>
      </c>
      <c r="H18" s="97">
        <v>19424861</v>
      </c>
      <c r="I18" s="97">
        <v>15324755</v>
      </c>
      <c r="J18" s="27">
        <v>17852508</v>
      </c>
      <c r="K18" s="27">
        <v>15030165</v>
      </c>
      <c r="L18" s="27">
        <v>15297940</v>
      </c>
      <c r="M18" s="17">
        <v>14235285</v>
      </c>
      <c r="N18" s="17">
        <v>12502027</v>
      </c>
      <c r="O18" s="17">
        <v>5940194</v>
      </c>
      <c r="P18" s="17">
        <v>8449508</v>
      </c>
      <c r="Q18" s="17">
        <v>9351419</v>
      </c>
      <c r="R18" s="17">
        <v>7450514</v>
      </c>
      <c r="S18" s="17">
        <v>7767348</v>
      </c>
      <c r="T18" s="17">
        <v>7247017</v>
      </c>
      <c r="U18" s="17">
        <v>6492301</v>
      </c>
      <c r="V18" s="17">
        <v>5424424</v>
      </c>
      <c r="W18" s="17">
        <v>5899819</v>
      </c>
      <c r="X18" s="17">
        <v>5434555</v>
      </c>
      <c r="Y18" s="17">
        <v>11081962</v>
      </c>
      <c r="Z18" s="17">
        <v>4671091</v>
      </c>
      <c r="AB18" s="27">
        <v>15324755</v>
      </c>
      <c r="AC18" s="27">
        <v>15324755</v>
      </c>
      <c r="AD18" s="27">
        <v>15324755</v>
      </c>
    </row>
    <row r="19" spans="1:30">
      <c r="A19" s="96" t="s">
        <v>10</v>
      </c>
      <c r="B19" s="77"/>
      <c r="C19" s="77"/>
      <c r="D19" s="77">
        <f t="shared" ref="D19:J19" si="0">SUBTOTAL(9,D9:D18)</f>
        <v>4008114187</v>
      </c>
      <c r="E19" s="77">
        <f t="shared" si="0"/>
        <v>3810507655</v>
      </c>
      <c r="F19" s="77">
        <f t="shared" si="0"/>
        <v>3807380285</v>
      </c>
      <c r="G19" s="77">
        <f t="shared" ref="G19" si="1">SUBTOTAL(9,G9:G18)</f>
        <v>3737863723</v>
      </c>
      <c r="H19" s="77">
        <f t="shared" si="0"/>
        <v>3701038589</v>
      </c>
      <c r="I19" s="77">
        <f t="shared" si="0"/>
        <v>3708563492</v>
      </c>
      <c r="J19" s="28">
        <f t="shared" si="0"/>
        <v>3586107666</v>
      </c>
      <c r="K19" s="28">
        <f t="shared" ref="K19:P19" si="2">SUBTOTAL(9,K9:K18)</f>
        <v>3584327874</v>
      </c>
      <c r="L19" s="28">
        <f t="shared" si="2"/>
        <v>3498095077</v>
      </c>
      <c r="M19" s="28">
        <f t="shared" si="2"/>
        <v>3379680804</v>
      </c>
      <c r="N19" s="28">
        <f t="shared" si="2"/>
        <v>3321010273</v>
      </c>
      <c r="O19" s="28">
        <f t="shared" si="2"/>
        <v>3350609508</v>
      </c>
      <c r="P19" s="28">
        <f t="shared" si="2"/>
        <v>3331664484</v>
      </c>
      <c r="Q19" s="28">
        <f t="shared" ref="Q19" si="3">SUBTOTAL(9,Q9:Q18)</f>
        <v>3295610376</v>
      </c>
      <c r="R19" s="28">
        <f t="shared" ref="R19:Z19" si="4">SUBTOTAL(9,R9:R18)</f>
        <v>3236604694</v>
      </c>
      <c r="S19" s="28">
        <f t="shared" si="4"/>
        <v>3102651378</v>
      </c>
      <c r="T19" s="28">
        <f t="shared" si="4"/>
        <v>2833401417</v>
      </c>
      <c r="U19" s="28">
        <f t="shared" si="4"/>
        <v>2631915674</v>
      </c>
      <c r="V19" s="28">
        <f t="shared" si="4"/>
        <v>2468803933</v>
      </c>
      <c r="W19" s="28">
        <f t="shared" si="4"/>
        <v>2300312752</v>
      </c>
      <c r="X19" s="28">
        <f t="shared" si="4"/>
        <v>2141373852</v>
      </c>
      <c r="Y19" s="28">
        <f t="shared" si="4"/>
        <v>1992359682</v>
      </c>
      <c r="Z19" s="28">
        <f t="shared" si="4"/>
        <v>1856115130</v>
      </c>
      <c r="AB19" s="30">
        <f>SUBTOTAL(9,AB9:AB18)</f>
        <v>3708563492</v>
      </c>
      <c r="AC19" s="30">
        <f>SUBTOTAL(9,AC9:AC18)</f>
        <v>3708563492</v>
      </c>
      <c r="AD19" s="30">
        <f>SUBTOTAL(9,AD9:AD18)</f>
        <v>3707705268</v>
      </c>
    </row>
    <row r="20" spans="1:30">
      <c r="A20" s="6"/>
      <c r="B20" s="17"/>
      <c r="C20" s="17"/>
      <c r="D20" s="17"/>
      <c r="E20" s="17"/>
      <c r="G20" s="17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B20" s="40"/>
      <c r="AC20" s="40"/>
      <c r="AD20" s="40"/>
    </row>
    <row r="21" spans="1:30">
      <c r="A21" s="96" t="s">
        <v>11</v>
      </c>
      <c r="B21" s="77"/>
      <c r="C21" s="77"/>
      <c r="D21" s="77"/>
      <c r="E21" s="77"/>
      <c r="F21" s="81"/>
      <c r="G21" s="77"/>
      <c r="H21" s="81"/>
      <c r="I21" s="81"/>
      <c r="M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B21" s="27"/>
      <c r="AC21" s="27"/>
      <c r="AD21" s="27"/>
    </row>
    <row r="22" spans="1:30">
      <c r="A22" s="77" t="s">
        <v>335</v>
      </c>
      <c r="B22" s="77" t="s">
        <v>76</v>
      </c>
      <c r="C22" s="77" t="s">
        <v>357</v>
      </c>
      <c r="F22" s="97"/>
      <c r="H22" s="97"/>
      <c r="I22" s="97"/>
      <c r="J22" s="27"/>
      <c r="K22" s="27">
        <v>0</v>
      </c>
      <c r="L22" s="27">
        <v>0</v>
      </c>
      <c r="M22" s="27">
        <v>0</v>
      </c>
      <c r="N22" s="27">
        <v>0</v>
      </c>
      <c r="O22" s="27">
        <v>0</v>
      </c>
      <c r="P22" s="17">
        <v>18742740</v>
      </c>
      <c r="Q22" s="27">
        <v>0</v>
      </c>
      <c r="R22" s="27">
        <v>0</v>
      </c>
      <c r="S22" s="27">
        <v>0</v>
      </c>
      <c r="T22" s="27">
        <v>0</v>
      </c>
      <c r="U22" s="27">
        <v>0</v>
      </c>
      <c r="V22" s="27">
        <v>0</v>
      </c>
      <c r="W22" s="27">
        <v>0</v>
      </c>
      <c r="X22" s="27">
        <v>0</v>
      </c>
      <c r="Y22" s="27">
        <v>0</v>
      </c>
      <c r="Z22" s="27">
        <v>0</v>
      </c>
      <c r="AB22" s="27">
        <v>0</v>
      </c>
      <c r="AC22" s="27"/>
      <c r="AD22" s="27"/>
    </row>
    <row r="23" spans="1:30">
      <c r="A23" s="97" t="s">
        <v>12</v>
      </c>
      <c r="B23" s="77" t="s">
        <v>324</v>
      </c>
      <c r="C23" s="77" t="s">
        <v>358</v>
      </c>
      <c r="D23" s="77">
        <v>0</v>
      </c>
      <c r="E23" s="77">
        <v>0</v>
      </c>
      <c r="F23" s="97">
        <v>0</v>
      </c>
      <c r="G23" s="77">
        <v>0</v>
      </c>
      <c r="H23" s="97">
        <v>0</v>
      </c>
      <c r="I23" s="97">
        <v>0</v>
      </c>
      <c r="J23" s="27">
        <v>8000000</v>
      </c>
      <c r="K23" s="27">
        <v>8000000</v>
      </c>
      <c r="L23" s="27">
        <v>0</v>
      </c>
      <c r="M23" s="27">
        <v>0</v>
      </c>
      <c r="N23" s="27">
        <v>0</v>
      </c>
      <c r="O23" s="27">
        <v>0</v>
      </c>
      <c r="P23" s="17">
        <v>0</v>
      </c>
      <c r="Q23" s="27">
        <v>0</v>
      </c>
      <c r="R23" s="27">
        <v>0</v>
      </c>
      <c r="S23" s="27">
        <v>0</v>
      </c>
      <c r="T23" s="27">
        <v>0</v>
      </c>
      <c r="U23" s="27">
        <v>0</v>
      </c>
      <c r="V23" s="27">
        <v>0</v>
      </c>
      <c r="W23" s="27">
        <v>0</v>
      </c>
      <c r="X23" s="27">
        <v>0</v>
      </c>
      <c r="Y23" s="27">
        <v>0</v>
      </c>
      <c r="Z23" s="27">
        <v>0</v>
      </c>
      <c r="AB23" s="27">
        <v>0</v>
      </c>
      <c r="AC23" s="27">
        <v>0</v>
      </c>
      <c r="AD23" s="27">
        <v>0</v>
      </c>
    </row>
    <row r="24" spans="1:30">
      <c r="A24" s="97" t="s">
        <v>339</v>
      </c>
      <c r="B24" s="77" t="s">
        <v>118</v>
      </c>
      <c r="C24" s="77" t="s">
        <v>359</v>
      </c>
      <c r="D24" s="77"/>
      <c r="E24" s="78"/>
      <c r="F24" s="81"/>
      <c r="G24" s="78"/>
      <c r="H24" s="81"/>
      <c r="I24" s="81"/>
      <c r="K24" s="27">
        <v>0</v>
      </c>
      <c r="L24" s="27">
        <v>0</v>
      </c>
      <c r="M24" s="27">
        <v>0</v>
      </c>
      <c r="N24" s="27">
        <v>0</v>
      </c>
      <c r="O24" s="27">
        <v>0</v>
      </c>
      <c r="P24" s="17">
        <v>7567924</v>
      </c>
      <c r="Q24" s="27">
        <v>0</v>
      </c>
      <c r="R24" s="27">
        <v>0</v>
      </c>
      <c r="S24" s="27">
        <v>0</v>
      </c>
      <c r="T24" s="27">
        <v>0</v>
      </c>
      <c r="U24" s="27">
        <v>0</v>
      </c>
      <c r="V24" s="27">
        <v>0</v>
      </c>
      <c r="W24" s="27">
        <v>0</v>
      </c>
      <c r="X24" s="27">
        <v>0</v>
      </c>
      <c r="Y24" s="27">
        <v>0</v>
      </c>
      <c r="Z24" s="27">
        <v>0</v>
      </c>
      <c r="AB24" s="27">
        <v>0</v>
      </c>
      <c r="AC24" s="27"/>
      <c r="AD24" s="27"/>
    </row>
    <row r="25" spans="1:30">
      <c r="A25" s="97" t="s">
        <v>337</v>
      </c>
      <c r="B25" s="77" t="s">
        <v>130</v>
      </c>
      <c r="C25" s="77" t="s">
        <v>360</v>
      </c>
      <c r="D25" s="77"/>
      <c r="E25" s="78"/>
      <c r="F25" s="81"/>
      <c r="G25" s="78"/>
      <c r="H25" s="81"/>
      <c r="I25" s="81"/>
      <c r="K25" s="27">
        <v>0</v>
      </c>
      <c r="L25" s="27">
        <v>0</v>
      </c>
      <c r="M25" s="27">
        <v>0</v>
      </c>
      <c r="N25" s="27">
        <v>0</v>
      </c>
      <c r="O25" s="27">
        <v>0</v>
      </c>
      <c r="P25" s="17">
        <v>1912794</v>
      </c>
      <c r="Q25" s="27">
        <v>0</v>
      </c>
      <c r="R25" s="27">
        <v>0</v>
      </c>
      <c r="S25" s="27">
        <v>0</v>
      </c>
      <c r="T25" s="27">
        <v>0</v>
      </c>
      <c r="U25" s="27">
        <v>0</v>
      </c>
      <c r="V25" s="27">
        <v>0</v>
      </c>
      <c r="W25" s="27">
        <v>0</v>
      </c>
      <c r="X25" s="27">
        <v>0</v>
      </c>
      <c r="Y25" s="27">
        <v>0</v>
      </c>
      <c r="Z25" s="27">
        <v>0</v>
      </c>
      <c r="AB25" s="27">
        <v>0</v>
      </c>
      <c r="AC25" s="27"/>
      <c r="AD25" s="27"/>
    </row>
    <row r="26" spans="1:30">
      <c r="A26" s="97" t="s">
        <v>338</v>
      </c>
      <c r="B26" s="77" t="s">
        <v>148</v>
      </c>
      <c r="C26" s="77" t="s">
        <v>361</v>
      </c>
      <c r="D26" s="77"/>
      <c r="E26" s="78"/>
      <c r="F26" s="81"/>
      <c r="G26" s="78"/>
      <c r="H26" s="81"/>
      <c r="I26" s="81"/>
      <c r="K26" s="27">
        <v>0</v>
      </c>
      <c r="L26" s="27">
        <v>0</v>
      </c>
      <c r="M26" s="27">
        <v>0</v>
      </c>
      <c r="N26" s="27">
        <v>0</v>
      </c>
      <c r="O26" s="27">
        <v>0</v>
      </c>
      <c r="P26" s="17">
        <v>12626</v>
      </c>
      <c r="Q26" s="27">
        <v>0</v>
      </c>
      <c r="R26" s="27">
        <v>0</v>
      </c>
      <c r="S26" s="27">
        <v>0</v>
      </c>
      <c r="T26" s="27">
        <v>0</v>
      </c>
      <c r="U26" s="27">
        <v>0</v>
      </c>
      <c r="V26" s="27">
        <v>0</v>
      </c>
      <c r="W26" s="27">
        <v>0</v>
      </c>
      <c r="X26" s="27">
        <v>0</v>
      </c>
      <c r="Y26" s="27">
        <v>0</v>
      </c>
      <c r="Z26" s="27">
        <v>0</v>
      </c>
      <c r="AB26" s="27">
        <v>0</v>
      </c>
      <c r="AC26" s="27"/>
      <c r="AD26" s="27"/>
    </row>
    <row r="27" spans="1:30">
      <c r="A27" s="104" t="s">
        <v>529</v>
      </c>
      <c r="B27" s="105" t="s">
        <v>154</v>
      </c>
      <c r="C27" s="81" t="s">
        <v>153</v>
      </c>
      <c r="D27" s="81"/>
      <c r="E27" s="78"/>
      <c r="F27" s="81"/>
      <c r="G27" s="78"/>
      <c r="H27" s="81"/>
      <c r="I27" s="81"/>
      <c r="K27" s="27">
        <v>0</v>
      </c>
      <c r="L27" s="27">
        <v>0</v>
      </c>
      <c r="M27" s="27">
        <v>0</v>
      </c>
      <c r="N27" s="27">
        <v>0</v>
      </c>
      <c r="O27" s="17">
        <v>3000000</v>
      </c>
      <c r="P27" s="17">
        <v>4194059</v>
      </c>
      <c r="Q27" s="27">
        <v>0</v>
      </c>
      <c r="R27" s="27">
        <v>0</v>
      </c>
      <c r="S27" s="27">
        <v>0</v>
      </c>
      <c r="T27" s="27">
        <v>0</v>
      </c>
      <c r="U27" s="27">
        <v>0</v>
      </c>
      <c r="V27" s="27">
        <v>0</v>
      </c>
      <c r="W27" s="27">
        <v>0</v>
      </c>
      <c r="X27" s="27">
        <v>0</v>
      </c>
      <c r="Y27" s="27">
        <v>0</v>
      </c>
      <c r="Z27" s="27">
        <v>0</v>
      </c>
      <c r="AB27" s="27">
        <v>0</v>
      </c>
      <c r="AC27" s="27"/>
      <c r="AD27" s="27"/>
    </row>
    <row r="28" spans="1:30">
      <c r="A28" s="81" t="s">
        <v>451</v>
      </c>
      <c r="B28" s="105" t="s">
        <v>85</v>
      </c>
      <c r="C28" s="99" t="s">
        <v>86</v>
      </c>
      <c r="D28" s="77">
        <v>0</v>
      </c>
      <c r="E28" s="77">
        <v>0</v>
      </c>
      <c r="F28" s="97">
        <v>0</v>
      </c>
      <c r="G28" s="77">
        <v>0</v>
      </c>
      <c r="H28" s="97">
        <v>0</v>
      </c>
      <c r="I28" s="97">
        <v>0</v>
      </c>
      <c r="J28" s="27">
        <v>4000000</v>
      </c>
      <c r="K28" s="27">
        <v>4000000</v>
      </c>
      <c r="L28" s="27">
        <v>0</v>
      </c>
      <c r="M28" s="27">
        <v>0</v>
      </c>
      <c r="N28" s="27">
        <v>0</v>
      </c>
      <c r="O28" s="27">
        <v>0</v>
      </c>
      <c r="P28" s="27">
        <v>0</v>
      </c>
      <c r="Q28" s="27">
        <v>0</v>
      </c>
      <c r="R28" s="27">
        <v>0</v>
      </c>
      <c r="S28" s="27">
        <v>0</v>
      </c>
      <c r="T28" s="27">
        <v>0</v>
      </c>
      <c r="U28" s="27">
        <v>0</v>
      </c>
      <c r="V28" s="27">
        <v>0</v>
      </c>
      <c r="W28" s="27">
        <v>0</v>
      </c>
      <c r="X28" s="27">
        <v>0</v>
      </c>
      <c r="Y28" s="27">
        <v>0</v>
      </c>
      <c r="Z28" s="27">
        <v>0</v>
      </c>
      <c r="AB28" s="27">
        <v>0</v>
      </c>
      <c r="AC28" s="27">
        <v>0</v>
      </c>
      <c r="AD28" s="27">
        <v>0</v>
      </c>
    </row>
    <row r="29" spans="1:30">
      <c r="A29" s="97" t="s">
        <v>13</v>
      </c>
      <c r="B29" s="77" t="s">
        <v>97</v>
      </c>
      <c r="C29" s="77" t="s">
        <v>362</v>
      </c>
      <c r="D29" s="77">
        <v>3869872</v>
      </c>
      <c r="E29" s="77">
        <v>3532217</v>
      </c>
      <c r="F29" s="97">
        <v>3532217</v>
      </c>
      <c r="G29" s="77">
        <v>3148516</v>
      </c>
      <c r="H29" s="97">
        <v>3148516</v>
      </c>
      <c r="I29" s="97">
        <v>3148516</v>
      </c>
      <c r="J29" s="27">
        <v>4145665</v>
      </c>
      <c r="K29" s="27">
        <v>4145665</v>
      </c>
      <c r="L29" s="15">
        <v>4270457</v>
      </c>
      <c r="M29" s="17">
        <v>6901043</v>
      </c>
      <c r="N29" s="17">
        <v>2729399</v>
      </c>
      <c r="O29" s="17">
        <v>2011708</v>
      </c>
      <c r="P29" s="17">
        <v>5204492</v>
      </c>
      <c r="Q29" s="17">
        <v>2530299</v>
      </c>
      <c r="R29" s="17">
        <v>2408050</v>
      </c>
      <c r="S29" s="17">
        <v>2104307</v>
      </c>
      <c r="T29" s="17">
        <v>1666444</v>
      </c>
      <c r="U29" s="17">
        <v>1396150</v>
      </c>
      <c r="V29" s="17">
        <v>1465732</v>
      </c>
      <c r="W29" s="17">
        <v>1614594</v>
      </c>
      <c r="X29" s="17">
        <v>1683800</v>
      </c>
      <c r="Y29" s="17">
        <v>1520280</v>
      </c>
      <c r="Z29" s="17">
        <v>1476000</v>
      </c>
      <c r="AB29" s="27">
        <v>3148516</v>
      </c>
      <c r="AC29" s="27">
        <v>3148516</v>
      </c>
      <c r="AD29" s="27">
        <v>3148516</v>
      </c>
    </row>
    <row r="30" spans="1:30">
      <c r="A30" s="81" t="s">
        <v>528</v>
      </c>
      <c r="B30" s="105" t="s">
        <v>102</v>
      </c>
      <c r="C30" s="77" t="s">
        <v>103</v>
      </c>
      <c r="D30" s="77">
        <v>0</v>
      </c>
      <c r="E30" s="77">
        <v>0</v>
      </c>
      <c r="F30" s="97">
        <v>0</v>
      </c>
      <c r="G30" s="77">
        <v>4000000</v>
      </c>
      <c r="H30" s="97">
        <v>4000000</v>
      </c>
      <c r="I30" s="97">
        <v>0</v>
      </c>
      <c r="J30" s="27">
        <v>0</v>
      </c>
      <c r="K30" s="27">
        <v>0</v>
      </c>
      <c r="L30" s="27">
        <v>0</v>
      </c>
      <c r="M30" s="27">
        <v>0</v>
      </c>
      <c r="N30" s="17">
        <v>1329839</v>
      </c>
      <c r="O30" s="27">
        <v>0</v>
      </c>
      <c r="P30" s="27">
        <v>0</v>
      </c>
      <c r="Q30" s="27">
        <v>0</v>
      </c>
      <c r="R30" s="27">
        <v>0</v>
      </c>
      <c r="S30" s="27">
        <v>0</v>
      </c>
      <c r="T30" s="27">
        <v>0</v>
      </c>
      <c r="U30" s="27">
        <v>0</v>
      </c>
      <c r="V30" s="27">
        <v>0</v>
      </c>
      <c r="W30" s="27">
        <v>0</v>
      </c>
      <c r="X30" s="27">
        <v>0</v>
      </c>
      <c r="Y30" s="27">
        <v>0</v>
      </c>
      <c r="Z30" s="27">
        <v>0</v>
      </c>
      <c r="AB30" s="27">
        <v>0</v>
      </c>
      <c r="AC30" s="27"/>
      <c r="AD30" s="27"/>
    </row>
    <row r="31" spans="1:30">
      <c r="A31" s="97" t="s">
        <v>14</v>
      </c>
      <c r="B31" s="77" t="s">
        <v>150</v>
      </c>
      <c r="C31" s="77" t="s">
        <v>363</v>
      </c>
      <c r="D31" s="77">
        <v>141000</v>
      </c>
      <c r="E31" s="77">
        <v>141000</v>
      </c>
      <c r="F31" s="97">
        <v>141000</v>
      </c>
      <c r="G31" s="77">
        <v>138000</v>
      </c>
      <c r="H31" s="97">
        <v>138000</v>
      </c>
      <c r="I31" s="97">
        <v>138000</v>
      </c>
      <c r="J31" s="27">
        <v>138000</v>
      </c>
      <c r="K31" s="27">
        <v>138000</v>
      </c>
      <c r="L31" s="27">
        <v>0</v>
      </c>
      <c r="M31" s="27">
        <v>0</v>
      </c>
      <c r="N31" s="17">
        <v>0</v>
      </c>
      <c r="O31" s="27">
        <v>0</v>
      </c>
      <c r="P31" s="27">
        <v>0</v>
      </c>
      <c r="Q31" s="27">
        <v>0</v>
      </c>
      <c r="R31" s="27">
        <v>0</v>
      </c>
      <c r="S31" s="27">
        <v>0</v>
      </c>
      <c r="T31" s="27">
        <v>0</v>
      </c>
      <c r="U31" s="27">
        <v>0</v>
      </c>
      <c r="V31" s="27">
        <v>0</v>
      </c>
      <c r="W31" s="27">
        <v>0</v>
      </c>
      <c r="X31" s="27">
        <v>0</v>
      </c>
      <c r="Y31" s="27">
        <v>0</v>
      </c>
      <c r="Z31" s="27">
        <v>0</v>
      </c>
      <c r="AB31" s="27">
        <v>138000</v>
      </c>
      <c r="AC31" s="27">
        <v>138000</v>
      </c>
      <c r="AD31" s="27">
        <v>138000</v>
      </c>
    </row>
    <row r="32" spans="1:30">
      <c r="A32" s="97" t="s">
        <v>15</v>
      </c>
      <c r="B32" s="77" t="s">
        <v>188</v>
      </c>
      <c r="C32" s="77" t="s">
        <v>364</v>
      </c>
      <c r="D32" s="77">
        <v>1125000</v>
      </c>
      <c r="E32" s="77">
        <v>1125000</v>
      </c>
      <c r="F32" s="97">
        <v>1125000</v>
      </c>
      <c r="G32" s="77">
        <v>1000000</v>
      </c>
      <c r="H32" s="97">
        <v>1000000</v>
      </c>
      <c r="I32" s="97">
        <v>1000000</v>
      </c>
      <c r="J32" s="27">
        <v>1000000</v>
      </c>
      <c r="K32" s="27">
        <v>1000000</v>
      </c>
      <c r="L32" s="27">
        <v>0</v>
      </c>
      <c r="M32" s="27">
        <v>0</v>
      </c>
      <c r="N32" s="17">
        <v>0</v>
      </c>
      <c r="O32" s="27">
        <v>0</v>
      </c>
      <c r="P32" s="27">
        <v>0</v>
      </c>
      <c r="Q32" s="27">
        <v>0</v>
      </c>
      <c r="R32" s="27">
        <v>0</v>
      </c>
      <c r="S32" s="27">
        <v>0</v>
      </c>
      <c r="T32" s="27">
        <v>0</v>
      </c>
      <c r="U32" s="27">
        <v>0</v>
      </c>
      <c r="V32" s="27">
        <v>0</v>
      </c>
      <c r="W32" s="27">
        <v>0</v>
      </c>
      <c r="X32" s="27">
        <v>0</v>
      </c>
      <c r="Y32" s="27">
        <v>0</v>
      </c>
      <c r="Z32" s="27">
        <v>0</v>
      </c>
      <c r="AB32" s="27">
        <v>1000000</v>
      </c>
      <c r="AC32" s="27">
        <v>1000000</v>
      </c>
      <c r="AD32" s="27">
        <v>1000000</v>
      </c>
    </row>
    <row r="33" spans="1:30">
      <c r="A33" s="106" t="s">
        <v>16</v>
      </c>
      <c r="B33" s="77" t="s">
        <v>108</v>
      </c>
      <c r="C33" s="77" t="s">
        <v>365</v>
      </c>
      <c r="D33" s="77">
        <v>548000</v>
      </c>
      <c r="E33" s="77">
        <v>548000</v>
      </c>
      <c r="F33" s="97">
        <v>548000</v>
      </c>
      <c r="G33" s="77">
        <v>535000</v>
      </c>
      <c r="H33" s="97">
        <v>535000</v>
      </c>
      <c r="I33" s="97">
        <v>535000</v>
      </c>
      <c r="J33" s="27">
        <v>535000</v>
      </c>
      <c r="K33" s="27">
        <v>535000</v>
      </c>
      <c r="L33" s="27">
        <v>0</v>
      </c>
      <c r="M33" s="27">
        <v>0</v>
      </c>
      <c r="N33" s="17">
        <v>0</v>
      </c>
      <c r="O33" s="27">
        <v>0</v>
      </c>
      <c r="P33" s="27">
        <v>0</v>
      </c>
      <c r="Q33" s="27">
        <v>0</v>
      </c>
      <c r="R33" s="27">
        <v>0</v>
      </c>
      <c r="S33" s="27">
        <v>0</v>
      </c>
      <c r="T33" s="27">
        <v>0</v>
      </c>
      <c r="U33" s="27">
        <v>0</v>
      </c>
      <c r="V33" s="27">
        <v>0</v>
      </c>
      <c r="W33" s="27">
        <v>0</v>
      </c>
      <c r="X33" s="27">
        <v>0</v>
      </c>
      <c r="Y33" s="27">
        <v>0</v>
      </c>
      <c r="Z33" s="27">
        <v>0</v>
      </c>
      <c r="AB33" s="27">
        <v>535000</v>
      </c>
      <c r="AC33" s="27">
        <v>535000</v>
      </c>
      <c r="AD33" s="27">
        <v>535000</v>
      </c>
    </row>
    <row r="34" spans="1:30">
      <c r="A34" s="97" t="s">
        <v>17</v>
      </c>
      <c r="B34" s="77" t="s">
        <v>114</v>
      </c>
      <c r="C34" s="77" t="s">
        <v>366</v>
      </c>
      <c r="D34" s="77">
        <v>577000</v>
      </c>
      <c r="E34" s="77">
        <v>577000</v>
      </c>
      <c r="F34" s="97">
        <v>577000</v>
      </c>
      <c r="G34" s="77">
        <v>535000</v>
      </c>
      <c r="H34" s="97">
        <v>535000</v>
      </c>
      <c r="I34" s="97">
        <v>535000</v>
      </c>
      <c r="J34" s="27">
        <v>535000</v>
      </c>
      <c r="K34" s="27">
        <v>535000</v>
      </c>
      <c r="L34" s="15">
        <v>2500000</v>
      </c>
      <c r="M34" s="27">
        <v>0</v>
      </c>
      <c r="N34" s="17">
        <v>0</v>
      </c>
      <c r="O34" s="27">
        <v>0</v>
      </c>
      <c r="P34" s="27">
        <v>0</v>
      </c>
      <c r="Q34" s="27">
        <v>0</v>
      </c>
      <c r="R34" s="27">
        <v>0</v>
      </c>
      <c r="S34" s="27">
        <v>0</v>
      </c>
      <c r="T34" s="27">
        <v>0</v>
      </c>
      <c r="U34" s="27">
        <v>0</v>
      </c>
      <c r="V34" s="27">
        <v>0</v>
      </c>
      <c r="W34" s="27">
        <v>0</v>
      </c>
      <c r="X34" s="27">
        <v>0</v>
      </c>
      <c r="Y34" s="27">
        <v>0</v>
      </c>
      <c r="Z34" s="27">
        <v>0</v>
      </c>
      <c r="AB34" s="27">
        <v>535000</v>
      </c>
      <c r="AC34" s="27">
        <v>535000</v>
      </c>
      <c r="AD34" s="27">
        <v>535000</v>
      </c>
    </row>
    <row r="35" spans="1:30">
      <c r="A35" s="107" t="s">
        <v>18</v>
      </c>
      <c r="B35" s="77" t="s">
        <v>126</v>
      </c>
      <c r="C35" s="77" t="s">
        <v>367</v>
      </c>
      <c r="D35" s="77">
        <v>49000</v>
      </c>
      <c r="E35" s="77">
        <v>49000</v>
      </c>
      <c r="F35" s="97">
        <v>49000</v>
      </c>
      <c r="G35" s="77">
        <v>42000</v>
      </c>
      <c r="H35" s="97">
        <v>42000</v>
      </c>
      <c r="I35" s="97">
        <v>42000</v>
      </c>
      <c r="J35" s="27">
        <v>42000</v>
      </c>
      <c r="K35" s="27">
        <v>42000</v>
      </c>
      <c r="L35" s="27">
        <v>0</v>
      </c>
      <c r="M35" s="27">
        <v>0</v>
      </c>
      <c r="N35" s="17">
        <v>0</v>
      </c>
      <c r="O35" s="27">
        <v>0</v>
      </c>
      <c r="P35" s="27">
        <v>0</v>
      </c>
      <c r="Q35" s="27">
        <v>0</v>
      </c>
      <c r="R35" s="27">
        <v>0</v>
      </c>
      <c r="S35" s="27">
        <v>0</v>
      </c>
      <c r="T35" s="27">
        <v>0</v>
      </c>
      <c r="U35" s="27">
        <v>0</v>
      </c>
      <c r="V35" s="27">
        <v>0</v>
      </c>
      <c r="W35" s="27">
        <v>0</v>
      </c>
      <c r="X35" s="27">
        <v>0</v>
      </c>
      <c r="Y35" s="27">
        <v>0</v>
      </c>
      <c r="Z35" s="27">
        <v>0</v>
      </c>
      <c r="AB35" s="27">
        <v>42000</v>
      </c>
      <c r="AC35" s="27">
        <v>42000</v>
      </c>
      <c r="AD35" s="27">
        <v>42000</v>
      </c>
    </row>
    <row r="36" spans="1:30">
      <c r="A36" s="97" t="s">
        <v>19</v>
      </c>
      <c r="B36" s="77" t="s">
        <v>138</v>
      </c>
      <c r="C36" s="77" t="s">
        <v>368</v>
      </c>
      <c r="D36" s="77">
        <v>186000</v>
      </c>
      <c r="E36" s="77">
        <v>186000</v>
      </c>
      <c r="F36" s="97">
        <v>186000</v>
      </c>
      <c r="G36" s="77">
        <v>175000</v>
      </c>
      <c r="H36" s="97">
        <v>175000</v>
      </c>
      <c r="I36" s="97">
        <v>175000</v>
      </c>
      <c r="J36" s="27">
        <v>175000</v>
      </c>
      <c r="K36" s="27">
        <v>175000</v>
      </c>
      <c r="L36" s="27">
        <v>0</v>
      </c>
      <c r="M36" s="27">
        <v>0</v>
      </c>
      <c r="N36" s="17">
        <v>0</v>
      </c>
      <c r="O36" s="27">
        <v>0</v>
      </c>
      <c r="P36" s="27">
        <v>0</v>
      </c>
      <c r="Q36" s="27">
        <v>0</v>
      </c>
      <c r="R36" s="27">
        <v>0</v>
      </c>
      <c r="S36" s="27">
        <v>0</v>
      </c>
      <c r="T36" s="27">
        <v>0</v>
      </c>
      <c r="U36" s="27">
        <v>0</v>
      </c>
      <c r="V36" s="27">
        <v>0</v>
      </c>
      <c r="W36" s="27">
        <v>0</v>
      </c>
      <c r="X36" s="27">
        <v>0</v>
      </c>
      <c r="Y36" s="27">
        <v>0</v>
      </c>
      <c r="Z36" s="27">
        <v>0</v>
      </c>
      <c r="AB36" s="27">
        <v>175000</v>
      </c>
      <c r="AC36" s="27">
        <v>175000</v>
      </c>
      <c r="AD36" s="27">
        <v>175000</v>
      </c>
    </row>
    <row r="37" spans="1:30">
      <c r="A37" s="97" t="s">
        <v>336</v>
      </c>
      <c r="B37" s="77" t="s">
        <v>200</v>
      </c>
      <c r="C37" s="77" t="s">
        <v>369</v>
      </c>
      <c r="F37" s="81"/>
      <c r="H37" s="81"/>
      <c r="I37" s="81"/>
      <c r="K37" s="27">
        <v>0</v>
      </c>
      <c r="L37" s="27">
        <v>0</v>
      </c>
      <c r="M37" s="27">
        <v>0</v>
      </c>
      <c r="N37" s="17">
        <v>0</v>
      </c>
      <c r="O37" s="27">
        <v>0</v>
      </c>
      <c r="P37" s="17">
        <v>1000000</v>
      </c>
      <c r="Q37" s="27">
        <v>0</v>
      </c>
      <c r="R37" s="27">
        <v>0</v>
      </c>
      <c r="S37" s="27">
        <v>0</v>
      </c>
      <c r="T37" s="27">
        <v>0</v>
      </c>
      <c r="U37" s="27">
        <v>0</v>
      </c>
      <c r="V37" s="27">
        <v>0</v>
      </c>
      <c r="W37" s="27">
        <v>0</v>
      </c>
      <c r="X37" s="27">
        <v>0</v>
      </c>
      <c r="Y37" s="27">
        <v>0</v>
      </c>
      <c r="Z37" s="27">
        <v>0</v>
      </c>
      <c r="AB37" s="27">
        <v>0</v>
      </c>
      <c r="AC37" s="27"/>
      <c r="AD37" s="27"/>
    </row>
    <row r="38" spans="1:30">
      <c r="A38" s="104" t="s">
        <v>530</v>
      </c>
      <c r="B38" s="105" t="s">
        <v>237</v>
      </c>
      <c r="C38" s="105" t="s">
        <v>236</v>
      </c>
      <c r="D38" s="105"/>
      <c r="E38" s="78"/>
      <c r="F38" s="97">
        <v>0</v>
      </c>
      <c r="G38" s="78"/>
      <c r="H38" s="97">
        <v>0</v>
      </c>
      <c r="I38" s="97">
        <v>0</v>
      </c>
      <c r="J38" s="27">
        <v>1224931</v>
      </c>
      <c r="K38" s="27">
        <v>1224931</v>
      </c>
      <c r="L38" s="27">
        <v>0</v>
      </c>
      <c r="M38" s="27">
        <v>0</v>
      </c>
      <c r="N38" s="17">
        <v>4000000</v>
      </c>
      <c r="O38" s="17">
        <v>2000000</v>
      </c>
      <c r="P38" s="17">
        <v>3750000</v>
      </c>
      <c r="Q38" s="27">
        <v>0</v>
      </c>
      <c r="R38" s="27">
        <v>0</v>
      </c>
      <c r="S38" s="17">
        <v>500000</v>
      </c>
      <c r="T38" s="27">
        <v>0</v>
      </c>
      <c r="U38" s="27">
        <v>0</v>
      </c>
      <c r="V38" s="17">
        <v>760000</v>
      </c>
      <c r="W38" s="27">
        <v>0</v>
      </c>
      <c r="X38" s="27">
        <v>0</v>
      </c>
      <c r="Y38" s="27">
        <v>0</v>
      </c>
      <c r="Z38" s="17">
        <v>2200000</v>
      </c>
      <c r="AB38" s="27">
        <v>0</v>
      </c>
      <c r="AC38" s="27">
        <v>0</v>
      </c>
      <c r="AD38" s="27">
        <v>0</v>
      </c>
    </row>
    <row r="39" spans="1:30">
      <c r="A39" s="104" t="s">
        <v>531</v>
      </c>
      <c r="B39" s="105" t="s">
        <v>243</v>
      </c>
      <c r="C39" s="105" t="s">
        <v>242</v>
      </c>
      <c r="D39" s="105"/>
      <c r="E39" s="78"/>
      <c r="F39" s="81"/>
      <c r="G39" s="78"/>
      <c r="H39" s="81"/>
      <c r="I39" s="81"/>
      <c r="K39" s="27">
        <v>0</v>
      </c>
      <c r="L39" s="27">
        <v>0</v>
      </c>
      <c r="M39" s="27">
        <v>0</v>
      </c>
      <c r="N39" s="27">
        <v>0</v>
      </c>
      <c r="O39" s="27">
        <v>0</v>
      </c>
      <c r="P39" s="27">
        <v>0</v>
      </c>
      <c r="Q39" s="27">
        <v>0</v>
      </c>
      <c r="R39" s="27">
        <v>0</v>
      </c>
      <c r="S39" s="17">
        <v>2604307</v>
      </c>
      <c r="T39" s="17">
        <v>1666444</v>
      </c>
      <c r="U39" s="17">
        <v>1396150</v>
      </c>
      <c r="V39" s="17">
        <v>1700000</v>
      </c>
      <c r="W39" s="17">
        <v>3000000</v>
      </c>
      <c r="X39" s="27">
        <v>0</v>
      </c>
      <c r="Y39" s="27">
        <v>0</v>
      </c>
      <c r="Z39" s="17">
        <v>529764</v>
      </c>
      <c r="AB39" s="27">
        <v>0</v>
      </c>
      <c r="AC39" s="27"/>
      <c r="AD39" s="27"/>
    </row>
    <row r="40" spans="1:30">
      <c r="A40" s="97" t="s">
        <v>20</v>
      </c>
      <c r="B40" s="77" t="s">
        <v>249</v>
      </c>
      <c r="C40" s="77" t="s">
        <v>370</v>
      </c>
      <c r="D40" s="77"/>
      <c r="E40" s="78"/>
      <c r="F40" s="97">
        <v>0</v>
      </c>
      <c r="G40" s="78"/>
      <c r="H40" s="97">
        <v>0</v>
      </c>
      <c r="I40" s="97">
        <v>0</v>
      </c>
      <c r="J40" s="27">
        <v>1500000</v>
      </c>
      <c r="K40" s="27">
        <v>1500000</v>
      </c>
      <c r="L40" s="27">
        <v>0</v>
      </c>
      <c r="M40" s="27">
        <v>0</v>
      </c>
      <c r="N40" s="27">
        <v>0</v>
      </c>
      <c r="O40" s="17">
        <v>4610443</v>
      </c>
      <c r="P40" s="17">
        <v>100000</v>
      </c>
      <c r="Q40" s="27">
        <v>0</v>
      </c>
      <c r="R40" s="27">
        <v>0</v>
      </c>
      <c r="S40" s="27">
        <v>0</v>
      </c>
      <c r="T40" s="27">
        <v>0</v>
      </c>
      <c r="U40" s="27">
        <v>0</v>
      </c>
      <c r="V40" s="27">
        <v>0</v>
      </c>
      <c r="W40" s="27">
        <v>0</v>
      </c>
      <c r="X40" s="27">
        <v>0</v>
      </c>
      <c r="Y40" s="27">
        <v>0</v>
      </c>
      <c r="Z40" s="27">
        <v>0</v>
      </c>
      <c r="AB40" s="27">
        <v>0</v>
      </c>
      <c r="AC40" s="27">
        <v>0</v>
      </c>
      <c r="AD40" s="27">
        <v>0</v>
      </c>
    </row>
    <row r="41" spans="1:30">
      <c r="A41" s="97" t="s">
        <v>21</v>
      </c>
      <c r="B41" s="77" t="s">
        <v>224</v>
      </c>
      <c r="C41" s="77" t="s">
        <v>371</v>
      </c>
      <c r="D41" s="77">
        <v>2850000</v>
      </c>
      <c r="E41" s="77">
        <v>2850000</v>
      </c>
      <c r="F41" s="97">
        <v>2850000</v>
      </c>
      <c r="G41" s="77">
        <v>1800000</v>
      </c>
      <c r="H41" s="97">
        <v>1800000</v>
      </c>
      <c r="I41" s="97">
        <v>1800000</v>
      </c>
      <c r="J41" s="27">
        <v>1800000</v>
      </c>
      <c r="K41" s="27">
        <v>1800000</v>
      </c>
      <c r="L41" s="27">
        <v>0</v>
      </c>
      <c r="M41" s="27">
        <v>0</v>
      </c>
      <c r="N41" s="27">
        <v>0</v>
      </c>
      <c r="O41" s="27">
        <v>0</v>
      </c>
      <c r="P41" s="27">
        <v>0</v>
      </c>
      <c r="Q41" s="27">
        <v>0</v>
      </c>
      <c r="R41" s="27">
        <v>0</v>
      </c>
      <c r="S41" s="27">
        <v>0</v>
      </c>
      <c r="T41" s="27">
        <v>0</v>
      </c>
      <c r="U41" s="27">
        <v>0</v>
      </c>
      <c r="V41" s="27">
        <v>0</v>
      </c>
      <c r="W41" s="27">
        <v>0</v>
      </c>
      <c r="X41" s="27">
        <v>0</v>
      </c>
      <c r="Y41" s="27">
        <v>0</v>
      </c>
      <c r="Z41" s="27">
        <v>0</v>
      </c>
      <c r="AB41" s="27">
        <v>1800000</v>
      </c>
      <c r="AC41" s="27">
        <v>1800000</v>
      </c>
      <c r="AD41" s="27">
        <v>1800000</v>
      </c>
    </row>
    <row r="42" spans="1:30">
      <c r="A42" s="97" t="s">
        <v>22</v>
      </c>
      <c r="B42" s="77" t="s">
        <v>205</v>
      </c>
      <c r="C42" s="77" t="s">
        <v>372</v>
      </c>
      <c r="D42" s="77">
        <v>820000</v>
      </c>
      <c r="E42" s="77">
        <v>820000</v>
      </c>
      <c r="F42" s="97">
        <v>820000</v>
      </c>
      <c r="G42" s="77">
        <v>775000</v>
      </c>
      <c r="H42" s="97">
        <v>775000</v>
      </c>
      <c r="I42" s="97">
        <v>775000</v>
      </c>
      <c r="J42" s="27">
        <v>775000</v>
      </c>
      <c r="K42" s="27">
        <v>775000</v>
      </c>
      <c r="L42" s="27">
        <v>0</v>
      </c>
      <c r="M42" s="27">
        <v>0</v>
      </c>
      <c r="N42" s="27">
        <v>0</v>
      </c>
      <c r="O42" s="27">
        <v>0</v>
      </c>
      <c r="P42" s="27">
        <v>0</v>
      </c>
      <c r="Q42" s="27">
        <v>0</v>
      </c>
      <c r="R42" s="27">
        <v>0</v>
      </c>
      <c r="S42" s="27">
        <v>0</v>
      </c>
      <c r="T42" s="27">
        <v>0</v>
      </c>
      <c r="U42" s="27">
        <v>0</v>
      </c>
      <c r="V42" s="27">
        <v>0</v>
      </c>
      <c r="W42" s="27">
        <v>0</v>
      </c>
      <c r="X42" s="27">
        <v>0</v>
      </c>
      <c r="Y42" s="27">
        <v>0</v>
      </c>
      <c r="Z42" s="27">
        <v>0</v>
      </c>
      <c r="AB42" s="27">
        <v>775000</v>
      </c>
      <c r="AC42" s="27">
        <v>775000</v>
      </c>
      <c r="AD42" s="27">
        <v>775000</v>
      </c>
    </row>
    <row r="43" spans="1:30">
      <c r="A43" s="104" t="s">
        <v>532</v>
      </c>
      <c r="B43" s="105" t="s">
        <v>373</v>
      </c>
      <c r="C43" s="108">
        <v>30010</v>
      </c>
      <c r="D43" s="108"/>
      <c r="E43" s="78"/>
      <c r="F43" s="81"/>
      <c r="G43" s="78"/>
      <c r="H43" s="81"/>
      <c r="I43" s="81"/>
      <c r="K43" s="27">
        <v>0</v>
      </c>
      <c r="L43" s="27">
        <v>0</v>
      </c>
      <c r="M43" s="27">
        <v>0</v>
      </c>
      <c r="N43" s="27">
        <v>0</v>
      </c>
      <c r="O43" s="17">
        <v>500000</v>
      </c>
      <c r="P43" s="17">
        <v>2500000</v>
      </c>
      <c r="Q43" s="27">
        <v>0</v>
      </c>
      <c r="R43" s="27">
        <v>0</v>
      </c>
      <c r="S43" s="27">
        <v>0</v>
      </c>
      <c r="T43" s="27">
        <v>0</v>
      </c>
      <c r="U43" s="27">
        <v>0</v>
      </c>
      <c r="V43" s="27">
        <v>0</v>
      </c>
      <c r="W43" s="27">
        <v>0</v>
      </c>
      <c r="X43" s="27">
        <v>0</v>
      </c>
      <c r="Y43" s="27">
        <v>0</v>
      </c>
      <c r="Z43" s="27">
        <v>0</v>
      </c>
      <c r="AA43" s="27"/>
      <c r="AB43" s="27">
        <v>0</v>
      </c>
      <c r="AC43" s="27"/>
      <c r="AD43" s="27"/>
    </row>
    <row r="44" spans="1:30">
      <c r="A44" s="81" t="s">
        <v>340</v>
      </c>
      <c r="B44" s="105" t="s">
        <v>79</v>
      </c>
      <c r="C44" s="77" t="s">
        <v>80</v>
      </c>
      <c r="D44" s="77"/>
      <c r="E44" s="78"/>
      <c r="F44" s="81"/>
      <c r="G44" s="78"/>
      <c r="H44" s="81"/>
      <c r="I44" s="81"/>
      <c r="K44" s="27">
        <v>0</v>
      </c>
      <c r="L44" s="27">
        <v>0</v>
      </c>
      <c r="M44" s="27">
        <v>0</v>
      </c>
      <c r="N44" s="27">
        <v>0</v>
      </c>
      <c r="O44" s="27">
        <v>0</v>
      </c>
      <c r="P44" s="27">
        <v>0</v>
      </c>
      <c r="Q44" s="27">
        <v>0</v>
      </c>
      <c r="R44" s="27">
        <v>0</v>
      </c>
      <c r="S44" s="27">
        <v>0</v>
      </c>
      <c r="T44" s="27">
        <v>0</v>
      </c>
      <c r="U44" s="27">
        <v>0</v>
      </c>
      <c r="V44" s="27">
        <v>0</v>
      </c>
      <c r="W44" s="27">
        <v>0</v>
      </c>
      <c r="X44" s="27">
        <v>0</v>
      </c>
      <c r="Y44" s="27">
        <v>0</v>
      </c>
      <c r="Z44" s="27">
        <v>0</v>
      </c>
      <c r="AB44" s="27">
        <v>0</v>
      </c>
    </row>
    <row r="45" spans="1:30">
      <c r="A45" s="96" t="s">
        <v>23</v>
      </c>
      <c r="B45" s="77"/>
      <c r="C45" s="77"/>
      <c r="D45" s="77">
        <f t="shared" ref="D45:J45" si="5">SUBTOTAL(9,D22:D44)</f>
        <v>10165872</v>
      </c>
      <c r="E45" s="77">
        <f t="shared" si="5"/>
        <v>9828217</v>
      </c>
      <c r="F45" s="77">
        <f t="shared" si="5"/>
        <v>9828217</v>
      </c>
      <c r="G45" s="77">
        <f t="shared" ref="G45" si="6">SUBTOTAL(9,G22:G44)</f>
        <v>12148516</v>
      </c>
      <c r="H45" s="77">
        <f t="shared" si="5"/>
        <v>12148516</v>
      </c>
      <c r="I45" s="77">
        <f t="shared" si="5"/>
        <v>8148516</v>
      </c>
      <c r="J45" s="28">
        <f t="shared" si="5"/>
        <v>23870596</v>
      </c>
      <c r="K45" s="28">
        <f t="shared" ref="K45:S45" si="7">SUBTOTAL(9,K22:K44)</f>
        <v>23870596</v>
      </c>
      <c r="L45" s="28">
        <f t="shared" si="7"/>
        <v>6770457</v>
      </c>
      <c r="M45" s="28">
        <f t="shared" si="7"/>
        <v>6901043</v>
      </c>
      <c r="N45" s="28">
        <f t="shared" si="7"/>
        <v>8059238</v>
      </c>
      <c r="O45" s="28">
        <f t="shared" si="7"/>
        <v>12122151</v>
      </c>
      <c r="P45" s="28">
        <f t="shared" si="7"/>
        <v>44984635</v>
      </c>
      <c r="Q45" s="28">
        <f t="shared" si="7"/>
        <v>2530299</v>
      </c>
      <c r="R45" s="28">
        <f t="shared" si="7"/>
        <v>2408050</v>
      </c>
      <c r="S45" s="28">
        <f t="shared" si="7"/>
        <v>5208614</v>
      </c>
      <c r="T45" s="28">
        <f t="shared" ref="T45:Z45" si="8">SUBTOTAL(9,T24:T44)</f>
        <v>3332888</v>
      </c>
      <c r="U45" s="28">
        <f t="shared" si="8"/>
        <v>2792300</v>
      </c>
      <c r="V45" s="28">
        <f t="shared" si="8"/>
        <v>3925732</v>
      </c>
      <c r="W45" s="28">
        <f t="shared" si="8"/>
        <v>4614594</v>
      </c>
      <c r="X45" s="28">
        <f t="shared" si="8"/>
        <v>1683800</v>
      </c>
      <c r="Y45" s="28">
        <f t="shared" si="8"/>
        <v>1520280</v>
      </c>
      <c r="Z45" s="28">
        <f t="shared" si="8"/>
        <v>4205764</v>
      </c>
      <c r="AB45" s="30">
        <f>SUBTOTAL(9,AB22:AB44)</f>
        <v>8148516</v>
      </c>
      <c r="AC45" s="30">
        <f>SUBTOTAL(9,AC22:AC44)</f>
        <v>8148516</v>
      </c>
      <c r="AD45" s="30">
        <f>SUBTOTAL(9,AD22:AD44)</f>
        <v>8148516</v>
      </c>
    </row>
    <row r="46" spans="1:30">
      <c r="A46" s="77"/>
      <c r="B46" s="77"/>
      <c r="C46" s="77"/>
      <c r="D46" s="77"/>
      <c r="E46" s="77"/>
      <c r="F46" s="77"/>
      <c r="G46" s="77"/>
      <c r="H46" s="81"/>
      <c r="I46" s="81"/>
      <c r="K46" s="27"/>
      <c r="L46" s="29"/>
      <c r="M46" s="29"/>
      <c r="N46" s="29"/>
      <c r="O46" s="29"/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  <c r="AB46" s="17"/>
      <c r="AC46" s="17"/>
      <c r="AD46" s="17"/>
    </row>
    <row r="47" spans="1:30">
      <c r="A47" s="96" t="s">
        <v>24</v>
      </c>
      <c r="B47" s="77"/>
      <c r="C47" s="77"/>
      <c r="D47" s="77">
        <f t="shared" ref="D47:J47" si="9">SUBTOTAL(9,D6:D45)</f>
        <v>4103223495</v>
      </c>
      <c r="E47" s="77">
        <f t="shared" si="9"/>
        <v>3896250909</v>
      </c>
      <c r="F47" s="77">
        <f t="shared" si="9"/>
        <v>3900509694</v>
      </c>
      <c r="G47" s="77">
        <f t="shared" ref="G47" si="10">SUBTOTAL(9,G6:G45)</f>
        <v>3906403496</v>
      </c>
      <c r="H47" s="77">
        <f t="shared" si="9"/>
        <v>3869578362</v>
      </c>
      <c r="I47" s="77">
        <f t="shared" si="9"/>
        <v>3798389134</v>
      </c>
      <c r="J47" s="28">
        <f t="shared" si="9"/>
        <v>3792786028</v>
      </c>
      <c r="K47" s="28">
        <f t="shared" ref="K47:P47" si="11">SUBTOTAL(9,K6:K45)</f>
        <v>3791006236</v>
      </c>
      <c r="L47" s="28">
        <f t="shared" si="11"/>
        <v>3714305036</v>
      </c>
      <c r="M47" s="28">
        <f t="shared" si="11"/>
        <v>3622817808</v>
      </c>
      <c r="N47" s="28">
        <f t="shared" si="11"/>
        <v>3569346410</v>
      </c>
      <c r="O47" s="28">
        <f t="shared" si="11"/>
        <v>3548117206</v>
      </c>
      <c r="P47" s="28">
        <f t="shared" si="11"/>
        <v>3538041753</v>
      </c>
      <c r="Q47" s="28">
        <f t="shared" ref="Q47" si="12">SUBTOTAL(9,Q6:Q45)</f>
        <v>3482338754</v>
      </c>
      <c r="R47" s="28">
        <f t="shared" ref="R47:Z47" si="13">SUBTOTAL(9,R6:R45)</f>
        <v>3407903151</v>
      </c>
      <c r="S47" s="28">
        <f t="shared" si="13"/>
        <v>3285392140</v>
      </c>
      <c r="T47" s="28">
        <f t="shared" si="13"/>
        <v>2989078659</v>
      </c>
      <c r="U47" s="28">
        <f t="shared" si="13"/>
        <v>2753602286</v>
      </c>
      <c r="V47" s="28">
        <f t="shared" si="13"/>
        <v>2567298724</v>
      </c>
      <c r="W47" s="28">
        <f t="shared" si="13"/>
        <v>2389096835</v>
      </c>
      <c r="X47" s="28">
        <f t="shared" si="13"/>
        <v>2231542543</v>
      </c>
      <c r="Y47" s="28">
        <f t="shared" si="13"/>
        <v>2089025701</v>
      </c>
      <c r="Z47" s="28">
        <f t="shared" si="13"/>
        <v>1944732923</v>
      </c>
      <c r="AB47" s="30">
        <f>SUBTOTAL(9,AB6:AB45)</f>
        <v>3798389134</v>
      </c>
      <c r="AC47" s="30">
        <f>SUBTOTAL(9,AC6:AC45)</f>
        <v>3798389134</v>
      </c>
      <c r="AD47" s="30">
        <f>SUBTOTAL(9,AD6:AD45)</f>
        <v>3826821095</v>
      </c>
    </row>
    <row r="48" spans="1:30">
      <c r="A48" s="17"/>
      <c r="B48" s="17"/>
      <c r="C48" s="17"/>
      <c r="E48" s="17"/>
      <c r="F48" s="27">
        <f>F47-F6</f>
        <v>3817208502</v>
      </c>
      <c r="G48" s="17"/>
      <c r="H48" s="74"/>
      <c r="K48" s="29"/>
      <c r="L48" s="29"/>
      <c r="M48" s="29"/>
      <c r="N48" s="29"/>
      <c r="O48" s="29"/>
      <c r="P48" s="29"/>
      <c r="Q48" s="29"/>
      <c r="R48" s="29"/>
      <c r="S48" s="29"/>
      <c r="T48" s="29"/>
      <c r="U48" s="29"/>
      <c r="V48" s="29"/>
      <c r="W48" s="29"/>
      <c r="X48" s="29"/>
      <c r="Y48" s="29"/>
      <c r="Z48" s="29"/>
      <c r="AB48" s="40"/>
      <c r="AC48" s="40"/>
      <c r="AD48" s="40"/>
    </row>
    <row r="49" spans="1:30">
      <c r="A49" s="96" t="s">
        <v>527</v>
      </c>
      <c r="B49" s="96"/>
      <c r="C49" s="96"/>
      <c r="D49" s="96"/>
      <c r="E49" s="96"/>
      <c r="F49" s="98"/>
      <c r="G49" s="96"/>
      <c r="H49" s="98"/>
      <c r="I49" s="98"/>
      <c r="J49" s="36"/>
      <c r="N49" s="17"/>
      <c r="O49" s="17"/>
      <c r="V49" s="17"/>
      <c r="W49" s="17"/>
      <c r="X49" s="17"/>
      <c r="Y49" s="17"/>
      <c r="Z49" s="17"/>
      <c r="AB49" s="27"/>
      <c r="AC49" s="27"/>
      <c r="AD49" s="27"/>
    </row>
    <row r="50" spans="1:30">
      <c r="A50" s="77" t="s">
        <v>25</v>
      </c>
      <c r="B50" s="77"/>
      <c r="C50" s="77"/>
      <c r="D50" s="77">
        <v>805471026</v>
      </c>
      <c r="E50" s="77">
        <v>773546456</v>
      </c>
      <c r="F50" s="98">
        <v>770077841</v>
      </c>
      <c r="G50" s="77">
        <v>734577718</v>
      </c>
      <c r="H50" s="98">
        <v>751013935</v>
      </c>
      <c r="I50" s="98">
        <v>752065675</v>
      </c>
      <c r="J50" s="36">
        <v>712590507</v>
      </c>
      <c r="K50" s="27">
        <v>731828693</v>
      </c>
      <c r="L50" s="15">
        <v>695634681</v>
      </c>
      <c r="M50" s="27">
        <v>675284262</v>
      </c>
      <c r="N50" s="17">
        <v>660757111</v>
      </c>
      <c r="O50" s="17">
        <v>673673855</v>
      </c>
      <c r="P50" s="17">
        <v>694708499</v>
      </c>
      <c r="Q50" s="17">
        <v>682733271</v>
      </c>
      <c r="R50" s="17">
        <v>647721194</v>
      </c>
      <c r="S50" s="17">
        <v>599381725</v>
      </c>
      <c r="T50" s="17">
        <v>552870544</v>
      </c>
      <c r="U50" s="17">
        <v>525894535</v>
      </c>
      <c r="V50" s="17">
        <v>505754051</v>
      </c>
      <c r="W50" s="17">
        <v>477708903</v>
      </c>
      <c r="X50" s="15">
        <v>450909274</v>
      </c>
      <c r="Y50" s="17">
        <v>418024883</v>
      </c>
      <c r="Z50" s="17">
        <v>383968340</v>
      </c>
      <c r="AB50" s="27">
        <v>752065675</v>
      </c>
      <c r="AC50" s="27">
        <v>752065675</v>
      </c>
      <c r="AD50" s="27">
        <v>745806755</v>
      </c>
    </row>
    <row r="51" spans="1:30">
      <c r="A51" s="77" t="s">
        <v>26</v>
      </c>
      <c r="B51" s="77"/>
      <c r="C51" s="77"/>
      <c r="D51" s="77">
        <v>351019493</v>
      </c>
      <c r="E51" s="77">
        <v>342454643</v>
      </c>
      <c r="F51" s="98">
        <v>340966957</v>
      </c>
      <c r="G51" s="77">
        <v>338563398</v>
      </c>
      <c r="H51" s="98">
        <v>380350459</v>
      </c>
      <c r="I51" s="98">
        <v>343701293</v>
      </c>
      <c r="J51" s="36">
        <v>332690270</v>
      </c>
      <c r="K51" s="27">
        <v>372043225</v>
      </c>
      <c r="L51" s="15">
        <v>334794913</v>
      </c>
      <c r="M51" s="27">
        <v>347122547</v>
      </c>
      <c r="N51" s="17">
        <v>331749713</v>
      </c>
      <c r="O51" s="17">
        <v>327820172</v>
      </c>
      <c r="P51" s="17">
        <v>367356399</v>
      </c>
      <c r="Q51" s="17">
        <v>361735824</v>
      </c>
      <c r="R51" s="17">
        <v>349744574</v>
      </c>
      <c r="S51" s="17">
        <v>343308918</v>
      </c>
      <c r="T51" s="17">
        <v>334701481</v>
      </c>
      <c r="U51" s="17">
        <v>308168058</v>
      </c>
      <c r="V51" s="17">
        <v>307638698</v>
      </c>
      <c r="W51" s="17">
        <v>291792138</v>
      </c>
      <c r="X51" s="15">
        <v>273465600</v>
      </c>
      <c r="Y51" s="17">
        <v>269152984</v>
      </c>
      <c r="Z51" s="17">
        <v>245791003</v>
      </c>
      <c r="AB51" s="27">
        <v>343701293</v>
      </c>
      <c r="AC51" s="27">
        <v>343701293</v>
      </c>
      <c r="AD51" s="27">
        <v>347535949</v>
      </c>
    </row>
    <row r="52" spans="1:30">
      <c r="A52" s="77" t="s">
        <v>27</v>
      </c>
      <c r="B52" s="77"/>
      <c r="C52" s="77"/>
      <c r="D52" s="98">
        <v>-35130994</v>
      </c>
      <c r="E52" s="98">
        <v>-44489319</v>
      </c>
      <c r="F52" s="98">
        <v>-44489319</v>
      </c>
      <c r="G52" s="98">
        <v>-42467566</v>
      </c>
      <c r="H52" s="98">
        <v>-44526628</v>
      </c>
      <c r="I52" s="98">
        <v>-44526628</v>
      </c>
      <c r="J52" s="36">
        <v>-41297375</v>
      </c>
      <c r="K52" s="27">
        <v>-43613381</v>
      </c>
      <c r="L52" s="27">
        <v>-41253899</v>
      </c>
      <c r="M52" s="27">
        <v>-41240697</v>
      </c>
      <c r="N52" s="27">
        <v>-40377359</v>
      </c>
      <c r="O52" s="27">
        <v>-42620871</v>
      </c>
      <c r="P52" s="17">
        <v>-53928981</v>
      </c>
      <c r="Q52" s="17">
        <v>-42478956</v>
      </c>
      <c r="R52" s="17">
        <v>-40340034</v>
      </c>
      <c r="S52" s="17">
        <v>-43625753</v>
      </c>
      <c r="T52" s="17">
        <v>-40728584</v>
      </c>
      <c r="U52" s="17">
        <v>-36780624</v>
      </c>
      <c r="V52" s="17">
        <v>-32295006</v>
      </c>
      <c r="W52" s="17">
        <v>-29440398</v>
      </c>
      <c r="X52" s="15">
        <v>-30474872</v>
      </c>
      <c r="Y52" s="17">
        <v>-28180913</v>
      </c>
      <c r="Z52" s="17">
        <v>-27681074</v>
      </c>
      <c r="AB52" s="27">
        <v>-44526628</v>
      </c>
      <c r="AC52" s="27">
        <v>-44526628</v>
      </c>
      <c r="AD52" s="27">
        <v>-44576928</v>
      </c>
    </row>
    <row r="53" spans="1:30">
      <c r="A53" s="77" t="s">
        <v>28</v>
      </c>
      <c r="B53" s="77"/>
      <c r="C53" s="77"/>
      <c r="D53" s="77">
        <v>632645</v>
      </c>
      <c r="E53" s="77">
        <v>126017</v>
      </c>
      <c r="F53" s="98">
        <v>126017</v>
      </c>
      <c r="G53" s="77">
        <v>2128669</v>
      </c>
      <c r="H53" s="98">
        <v>1781944</v>
      </c>
      <c r="I53" s="98">
        <v>135017</v>
      </c>
      <c r="J53" s="36">
        <v>1615894</v>
      </c>
      <c r="K53" s="27">
        <v>1158271</v>
      </c>
      <c r="L53" s="15">
        <v>1240331</v>
      </c>
      <c r="M53" s="27">
        <v>1001360</v>
      </c>
      <c r="N53" s="17">
        <v>2243064</v>
      </c>
      <c r="O53" s="17">
        <v>792415</v>
      </c>
      <c r="P53" s="17">
        <v>1544185</v>
      </c>
      <c r="Q53" s="17">
        <v>3068841</v>
      </c>
      <c r="R53" s="17">
        <v>3531415</v>
      </c>
      <c r="S53" s="17">
        <v>2833717</v>
      </c>
      <c r="T53" s="17">
        <v>5591389</v>
      </c>
      <c r="U53" s="17">
        <v>3372204</v>
      </c>
      <c r="V53" s="17">
        <v>3529905</v>
      </c>
      <c r="W53" s="17">
        <v>4460980</v>
      </c>
      <c r="X53" s="15">
        <v>7073181</v>
      </c>
      <c r="Y53" s="17">
        <v>7555249</v>
      </c>
      <c r="Z53" s="17">
        <v>6218874</v>
      </c>
      <c r="AB53" s="27">
        <v>135017</v>
      </c>
      <c r="AC53" s="27">
        <v>135017</v>
      </c>
      <c r="AD53" s="27">
        <v>190017</v>
      </c>
    </row>
    <row r="54" spans="1:30">
      <c r="A54" s="77" t="s">
        <v>375</v>
      </c>
      <c r="B54" s="77"/>
      <c r="C54" s="77"/>
      <c r="D54" s="77">
        <v>355880829</v>
      </c>
      <c r="E54" s="77">
        <v>338338526</v>
      </c>
      <c r="F54" s="98">
        <v>338061388</v>
      </c>
      <c r="G54" s="77">
        <v>307188662</v>
      </c>
      <c r="H54" s="98">
        <v>314202530</v>
      </c>
      <c r="I54" s="98">
        <v>314009976</v>
      </c>
      <c r="J54" s="36">
        <v>286808294</v>
      </c>
      <c r="K54" s="27">
        <v>299051727</v>
      </c>
      <c r="L54" s="15">
        <v>278906707</v>
      </c>
      <c r="M54" s="27">
        <v>260108139</v>
      </c>
      <c r="N54" s="17">
        <v>233953137</v>
      </c>
      <c r="O54" s="17">
        <v>201770116</v>
      </c>
      <c r="P54" s="17">
        <v>199304869</v>
      </c>
      <c r="Q54" s="17">
        <v>195912862</v>
      </c>
      <c r="R54" s="17">
        <v>184256436</v>
      </c>
      <c r="S54" s="17">
        <v>165234354</v>
      </c>
      <c r="T54" s="17">
        <v>152982129</v>
      </c>
      <c r="U54" s="17">
        <v>132813046</v>
      </c>
      <c r="V54" s="17">
        <v>127966018</v>
      </c>
      <c r="W54" s="17">
        <v>110429460</v>
      </c>
      <c r="X54" s="17">
        <v>108577744</v>
      </c>
      <c r="Y54" s="17">
        <v>95170709</v>
      </c>
      <c r="Z54" s="17">
        <v>85549953</v>
      </c>
      <c r="AB54" s="27">
        <v>314009976</v>
      </c>
      <c r="AC54" s="27">
        <v>314009976</v>
      </c>
      <c r="AD54" s="27">
        <v>312330626</v>
      </c>
    </row>
    <row r="55" spans="1:30" ht="15.75" thickBot="1">
      <c r="A55" s="96" t="s">
        <v>456</v>
      </c>
      <c r="B55" s="77"/>
      <c r="C55" s="77"/>
      <c r="D55" s="77">
        <v>1477872999</v>
      </c>
      <c r="E55" s="77">
        <v>1409976323</v>
      </c>
      <c r="F55" s="77">
        <f t="shared" ref="F55:J55" si="14">SUBTOTAL(9,F50:F54)</f>
        <v>1404742884</v>
      </c>
      <c r="G55" s="77">
        <v>1339990881</v>
      </c>
      <c r="H55" s="77">
        <f t="shared" si="14"/>
        <v>1402822240</v>
      </c>
      <c r="I55" s="77">
        <f t="shared" si="14"/>
        <v>1365385333</v>
      </c>
      <c r="J55" s="31">
        <f t="shared" si="14"/>
        <v>1292407590</v>
      </c>
      <c r="K55" s="31">
        <f>SUBTOTAL(9,K50:K54)</f>
        <v>1360468535</v>
      </c>
      <c r="L55" s="31">
        <f>SUBTOTAL(9,L50:L54)</f>
        <v>1269322733</v>
      </c>
      <c r="M55" s="31">
        <v>1242275611</v>
      </c>
      <c r="N55" s="31">
        <v>1188325666</v>
      </c>
      <c r="O55" s="31">
        <f>SUM(O50:O54)</f>
        <v>1161435687</v>
      </c>
      <c r="P55" s="31">
        <v>1208984971</v>
      </c>
      <c r="Q55" s="31">
        <v>1200971842</v>
      </c>
      <c r="R55" s="31">
        <v>1144913585</v>
      </c>
      <c r="S55" s="31">
        <v>1067132961</v>
      </c>
      <c r="T55" s="31">
        <v>1005416959</v>
      </c>
      <c r="U55" s="31">
        <v>933467219</v>
      </c>
      <c r="V55" s="31">
        <v>912593666</v>
      </c>
      <c r="W55" s="31">
        <v>854951083</v>
      </c>
      <c r="X55" s="31">
        <v>809550927</v>
      </c>
      <c r="Y55" s="31">
        <v>761722912</v>
      </c>
      <c r="Z55" s="31">
        <v>693847096</v>
      </c>
      <c r="AB55" s="31">
        <f>SUBTOTAL(9,AB50:AB54)</f>
        <v>1365385333</v>
      </c>
      <c r="AC55" s="31">
        <f>SUBTOTAL(9,AC50:AC54)</f>
        <v>1365385333</v>
      </c>
      <c r="AD55" s="31">
        <f>SUBTOTAL(9,AD50:AD54)</f>
        <v>1361286419</v>
      </c>
    </row>
    <row r="56" spans="1:30">
      <c r="A56" s="139" t="s">
        <v>486</v>
      </c>
      <c r="B56" s="32"/>
      <c r="C56" s="32"/>
      <c r="D56" s="34">
        <f>'Detailed Expenditures'!C84</f>
        <v>1477872999</v>
      </c>
      <c r="E56" s="34">
        <f>'Detailed Expenditures'!D84</f>
        <v>1409976323</v>
      </c>
      <c r="F56" s="34">
        <f>'Detailed Expenditures'!E84</f>
        <v>1404742884</v>
      </c>
      <c r="G56" s="34">
        <f>'Detailed Expenditures'!F84</f>
        <v>1339990881</v>
      </c>
      <c r="H56" s="34">
        <f>'Detailed Expenditures'!G84</f>
        <v>1402822240</v>
      </c>
      <c r="I56" s="34">
        <f>'Detailed Expenditures'!H84</f>
        <v>1365385333</v>
      </c>
      <c r="J56" s="34">
        <f>'Detailed Expenditures'!I84</f>
        <v>1292407590</v>
      </c>
      <c r="K56" s="34">
        <f>'Detailed Expenditures'!J84</f>
        <v>1360468535</v>
      </c>
      <c r="L56" s="34">
        <f>'Detailed Expenditures'!K84</f>
        <v>1269322733</v>
      </c>
      <c r="M56" s="34">
        <f>'Detailed Expenditures'!L84</f>
        <v>1242275611</v>
      </c>
      <c r="N56" s="34">
        <f>'Detailed Expenditures'!M84</f>
        <v>1188325666</v>
      </c>
      <c r="O56" s="34">
        <f>'Detailed Expenditures'!N84</f>
        <v>1161435687</v>
      </c>
      <c r="P56" s="33">
        <f>'Detailed Expenditures'!O84</f>
        <v>1208984971</v>
      </c>
      <c r="Q56" s="33">
        <f>'Detailed Expenditures'!P84</f>
        <v>1200971842</v>
      </c>
      <c r="R56" s="33">
        <f>'Detailed Expenditures'!Q84</f>
        <v>1144913585</v>
      </c>
      <c r="S56" s="33">
        <f>'Detailed Expenditures'!R84</f>
        <v>1067132961</v>
      </c>
      <c r="T56" s="33">
        <f>'Detailed Expenditures'!S84</f>
        <v>1005416959</v>
      </c>
      <c r="U56" s="33">
        <f>'Detailed Expenditures'!T84</f>
        <v>933467219</v>
      </c>
      <c r="V56" s="33">
        <f>'Detailed Expenditures'!U84</f>
        <v>912593666</v>
      </c>
      <c r="W56" s="33">
        <f>'Detailed Expenditures'!V84</f>
        <v>854951083</v>
      </c>
      <c r="X56" s="33">
        <f>'Detailed Expenditures'!W84</f>
        <v>809550927</v>
      </c>
      <c r="Y56" s="33">
        <f>'Detailed Expenditures'!X84</f>
        <v>761722912</v>
      </c>
      <c r="Z56" s="33">
        <f>'Detailed Expenditures'!Y84</f>
        <v>693847096</v>
      </c>
      <c r="AB56" s="34" t="e">
        <f>'Detailed Expenditures'!#REF!</f>
        <v>#REF!</v>
      </c>
      <c r="AC56" s="14"/>
      <c r="AD56" s="14"/>
    </row>
    <row r="57" spans="1:30">
      <c r="A57" s="17"/>
      <c r="B57" s="17"/>
      <c r="C57" s="17"/>
      <c r="D57" s="17"/>
      <c r="E57" s="17"/>
      <c r="F57" s="36"/>
      <c r="G57" s="17"/>
      <c r="H57" s="36"/>
      <c r="I57" s="36"/>
      <c r="J57" s="36"/>
      <c r="K57" s="14"/>
      <c r="L57" s="14"/>
      <c r="M57" s="27"/>
      <c r="O57" s="35"/>
      <c r="P57" s="17"/>
      <c r="Q57" s="17"/>
      <c r="R57" s="17"/>
      <c r="S57" s="17"/>
      <c r="T57" s="17"/>
      <c r="Y57" s="17"/>
      <c r="Z57" s="17"/>
      <c r="AB57" s="27" t="e">
        <f>AB55-AB56</f>
        <v>#REF!</v>
      </c>
      <c r="AC57" s="27"/>
      <c r="AD57" s="27"/>
    </row>
    <row r="58" spans="1:30">
      <c r="A58" s="96" t="s">
        <v>30</v>
      </c>
      <c r="B58" s="96"/>
      <c r="C58" s="96"/>
      <c r="D58" s="96"/>
      <c r="E58" s="96"/>
      <c r="F58" s="78"/>
      <c r="G58" s="96"/>
      <c r="H58" s="98"/>
      <c r="I58" s="98"/>
      <c r="J58" s="36"/>
      <c r="K58" s="27"/>
      <c r="L58" s="27"/>
      <c r="M58" s="27"/>
      <c r="O58" s="17"/>
      <c r="P58" s="17"/>
      <c r="Q58" s="17"/>
      <c r="R58" s="17"/>
      <c r="S58" s="17"/>
      <c r="T58" s="17"/>
      <c r="Y58" s="17"/>
      <c r="Z58" s="17"/>
      <c r="AB58" s="27"/>
      <c r="AC58" s="27"/>
      <c r="AD58" s="27"/>
    </row>
    <row r="59" spans="1:30">
      <c r="A59" s="81" t="s">
        <v>32</v>
      </c>
      <c r="B59" s="99" t="s">
        <v>79</v>
      </c>
      <c r="C59" s="81" t="str">
        <f>IF(VLOOKUP(B59,'Old vs New accounts'!$E$5:$G$97,1)=B59,VLOOKUP(B59,'Old vs New accounts'!$E$5:$G$97,3),0)</f>
        <v>S10000</v>
      </c>
      <c r="D59" s="97">
        <v>1879907945</v>
      </c>
      <c r="E59" s="97">
        <v>1825153345</v>
      </c>
      <c r="F59" s="98">
        <v>1825153345</v>
      </c>
      <c r="G59" s="97">
        <v>1768498393</v>
      </c>
      <c r="H59" s="98">
        <v>1768498393</v>
      </c>
      <c r="I59" s="98">
        <v>1768498393</v>
      </c>
      <c r="J59" s="36">
        <v>1716988731</v>
      </c>
      <c r="K59" s="36">
        <v>1716988731</v>
      </c>
      <c r="L59" s="36">
        <v>1683322285</v>
      </c>
      <c r="M59" s="36">
        <v>1610834722</v>
      </c>
      <c r="N59" s="36">
        <v>1611590477</v>
      </c>
      <c r="O59" s="36">
        <v>1626600722</v>
      </c>
      <c r="P59" s="36">
        <v>1626600722</v>
      </c>
      <c r="Q59" s="36">
        <v>1586600722</v>
      </c>
      <c r="R59" s="36">
        <v>1533218089</v>
      </c>
      <c r="S59" s="36">
        <v>1431337820</v>
      </c>
      <c r="T59" s="36">
        <v>1322374187</v>
      </c>
      <c r="U59" s="36">
        <v>1240850321</v>
      </c>
      <c r="V59" s="36">
        <v>1168875267</v>
      </c>
      <c r="W59" s="36">
        <v>1079911756</v>
      </c>
      <c r="X59" s="36">
        <v>988000908</v>
      </c>
      <c r="Y59" s="36">
        <v>897412605</v>
      </c>
      <c r="Z59" s="36">
        <v>852127830</v>
      </c>
      <c r="AB59" s="36">
        <v>1768498393</v>
      </c>
      <c r="AC59" s="36">
        <v>1768498393</v>
      </c>
      <c r="AD59" s="36">
        <v>1751328506</v>
      </c>
    </row>
    <row r="60" spans="1:30">
      <c r="A60" s="82" t="s">
        <v>624</v>
      </c>
      <c r="B60" s="99"/>
      <c r="C60" s="82" t="s">
        <v>182</v>
      </c>
      <c r="D60" s="97">
        <v>13100000</v>
      </c>
      <c r="E60" s="97"/>
      <c r="F60" s="98"/>
      <c r="G60" s="97"/>
      <c r="H60" s="98"/>
      <c r="I60" s="98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36"/>
      <c r="W60" s="36"/>
      <c r="X60" s="36"/>
      <c r="Y60" s="36"/>
      <c r="Z60" s="36"/>
      <c r="AB60" s="36"/>
      <c r="AC60" s="36"/>
      <c r="AD60" s="36"/>
    </row>
    <row r="61" spans="1:30">
      <c r="A61" s="81" t="s">
        <v>31</v>
      </c>
      <c r="B61" s="99" t="s">
        <v>76</v>
      </c>
      <c r="C61" s="81" t="str">
        <f>IF(VLOOKUP(B61,'Old vs New accounts'!$E$5:$G$97,1)=B61,VLOOKUP(B61,'Old vs New accounts'!$E$5:$G$97,3),0)</f>
        <v>10010</v>
      </c>
      <c r="D61" s="97">
        <v>9392382</v>
      </c>
      <c r="E61" s="97">
        <v>536848</v>
      </c>
      <c r="F61" s="98">
        <v>354755</v>
      </c>
      <c r="G61" s="97">
        <v>10345428</v>
      </c>
      <c r="H61" s="98">
        <v>2174591</v>
      </c>
      <c r="I61" s="98">
        <v>1031348</v>
      </c>
      <c r="J61" s="36">
        <v>2769177</v>
      </c>
      <c r="K61" s="36">
        <v>1250797</v>
      </c>
      <c r="L61" s="36">
        <v>1680445</v>
      </c>
      <c r="M61" s="36">
        <v>0</v>
      </c>
      <c r="N61" s="36">
        <v>0</v>
      </c>
      <c r="O61" s="36">
        <v>16213768</v>
      </c>
      <c r="P61" s="36">
        <v>0</v>
      </c>
      <c r="Q61" s="36">
        <v>0</v>
      </c>
      <c r="R61" s="36">
        <v>0</v>
      </c>
      <c r="S61" s="36">
        <v>44805842</v>
      </c>
      <c r="T61" s="36">
        <v>11616144</v>
      </c>
      <c r="U61" s="36">
        <v>5248624</v>
      </c>
      <c r="V61" s="36">
        <v>1389191</v>
      </c>
      <c r="W61" s="36">
        <v>2511050</v>
      </c>
      <c r="X61" s="36">
        <v>4644655</v>
      </c>
      <c r="Y61" s="36">
        <v>17963684</v>
      </c>
      <c r="Z61" s="36">
        <v>0</v>
      </c>
      <c r="AB61" s="36">
        <v>1031348</v>
      </c>
      <c r="AC61" s="36">
        <v>1031348</v>
      </c>
      <c r="AD61" s="36">
        <v>1031348</v>
      </c>
    </row>
    <row r="62" spans="1:30">
      <c r="A62" s="81" t="s">
        <v>41</v>
      </c>
      <c r="B62" s="99" t="s">
        <v>83</v>
      </c>
      <c r="C62" s="81" t="str">
        <f>IF(VLOOKUP(B62,'Old vs New accounts'!$E$5:$G$97,1)=B62,VLOOKUP(B62,'Old vs New accounts'!$E$5:$G$97,3),0)</f>
        <v>10020</v>
      </c>
      <c r="D62" s="97">
        <v>11141700</v>
      </c>
      <c r="E62" s="97">
        <v>10611143</v>
      </c>
      <c r="F62" s="98">
        <v>10611143</v>
      </c>
      <c r="G62" s="97">
        <v>10611143</v>
      </c>
      <c r="H62" s="98">
        <v>10611143</v>
      </c>
      <c r="I62" s="98">
        <v>10611143</v>
      </c>
      <c r="J62" s="36">
        <v>9867755</v>
      </c>
      <c r="K62" s="36">
        <v>9867755</v>
      </c>
      <c r="L62" s="36">
        <v>9867755</v>
      </c>
      <c r="M62" s="36">
        <v>8970687</v>
      </c>
      <c r="N62" s="36">
        <v>8970687</v>
      </c>
      <c r="O62" s="36">
        <v>8970687</v>
      </c>
      <c r="P62" s="36">
        <v>8970687</v>
      </c>
      <c r="Q62" s="36">
        <v>8720769</v>
      </c>
      <c r="R62" s="36">
        <v>8324073</v>
      </c>
      <c r="S62" s="36">
        <v>7470111</v>
      </c>
      <c r="T62" s="36">
        <v>6781644</v>
      </c>
      <c r="U62" s="36">
        <v>6458709</v>
      </c>
      <c r="V62" s="36">
        <v>6278539</v>
      </c>
      <c r="W62" s="36">
        <v>5923150</v>
      </c>
      <c r="X62" s="36">
        <v>5820176</v>
      </c>
      <c r="Y62" s="36">
        <v>5146285</v>
      </c>
      <c r="Z62" s="36">
        <v>4887260</v>
      </c>
      <c r="AB62" s="36">
        <v>10611143</v>
      </c>
      <c r="AC62" s="36">
        <v>10611143</v>
      </c>
      <c r="AD62" s="36">
        <v>10611143</v>
      </c>
    </row>
    <row r="63" spans="1:30">
      <c r="A63" s="81" t="s">
        <v>42</v>
      </c>
      <c r="B63" s="99" t="s">
        <v>89</v>
      </c>
      <c r="C63" s="81" t="str">
        <f>IF(VLOOKUP(B63,'Old vs New accounts'!$E$5:$G$97,1)=B63,VLOOKUP(B63,'Old vs New accounts'!$E$5:$G$97,3),0)</f>
        <v>10030</v>
      </c>
      <c r="D63" s="97">
        <v>13158773</v>
      </c>
      <c r="E63" s="97">
        <v>12894637</v>
      </c>
      <c r="F63" s="98">
        <v>12844637</v>
      </c>
      <c r="G63" s="97">
        <v>15020884</v>
      </c>
      <c r="H63" s="98">
        <v>15020884</v>
      </c>
      <c r="I63" s="98">
        <v>14720884</v>
      </c>
      <c r="J63" s="36">
        <v>14370975</v>
      </c>
      <c r="K63" s="36">
        <v>14370975</v>
      </c>
      <c r="L63" s="36">
        <v>15683588</v>
      </c>
      <c r="M63" s="36">
        <v>14612942</v>
      </c>
      <c r="N63" s="36">
        <v>12038305</v>
      </c>
      <c r="O63" s="36">
        <v>12935440</v>
      </c>
      <c r="P63" s="36">
        <v>13823053</v>
      </c>
      <c r="Q63" s="36">
        <v>13385396</v>
      </c>
      <c r="R63" s="36">
        <v>12226230</v>
      </c>
      <c r="S63" s="36">
        <v>12103301</v>
      </c>
      <c r="T63" s="36">
        <v>9872624</v>
      </c>
      <c r="U63" s="36">
        <v>7048423</v>
      </c>
      <c r="V63" s="36">
        <v>6507747</v>
      </c>
      <c r="W63" s="36">
        <v>6697638</v>
      </c>
      <c r="X63" s="36">
        <v>6198375</v>
      </c>
      <c r="Y63" s="36">
        <v>0</v>
      </c>
      <c r="Z63" s="36">
        <v>0</v>
      </c>
      <c r="AB63" s="36">
        <v>14720884</v>
      </c>
      <c r="AC63" s="36">
        <v>14720884</v>
      </c>
      <c r="AD63" s="36">
        <v>15361234</v>
      </c>
    </row>
    <row r="64" spans="1:30">
      <c r="A64" s="81" t="s">
        <v>36</v>
      </c>
      <c r="B64" s="99" t="s">
        <v>95</v>
      </c>
      <c r="C64" s="81" t="str">
        <f>IF(VLOOKUP(B64,'Old vs New accounts'!$E$5:$G$97,1)=B64,VLOOKUP(B64,'Old vs New accounts'!$E$5:$G$97,3),0)</f>
        <v>10040</v>
      </c>
      <c r="D64" s="97">
        <v>4770240</v>
      </c>
      <c r="E64" s="97">
        <v>2700000</v>
      </c>
      <c r="F64" s="98">
        <v>2700000</v>
      </c>
      <c r="G64" s="97">
        <v>11251260</v>
      </c>
      <c r="H64" s="98">
        <v>11251260</v>
      </c>
      <c r="I64" s="98">
        <v>3743760</v>
      </c>
      <c r="J64" s="36">
        <v>9763280</v>
      </c>
      <c r="K64" s="36">
        <v>9763280</v>
      </c>
      <c r="L64" s="36">
        <v>14281579</v>
      </c>
      <c r="M64" s="36">
        <v>16181579</v>
      </c>
      <c r="N64" s="36">
        <v>19025349</v>
      </c>
      <c r="O64" s="36">
        <v>13430258</v>
      </c>
      <c r="P64" s="36">
        <v>17021805</v>
      </c>
      <c r="Q64" s="36">
        <v>12360015</v>
      </c>
      <c r="R64" s="36">
        <v>13499576</v>
      </c>
      <c r="S64" s="36">
        <v>19160911</v>
      </c>
      <c r="T64" s="36">
        <v>11424823</v>
      </c>
      <c r="U64" s="36">
        <v>11329411</v>
      </c>
      <c r="V64" s="36">
        <v>5921626</v>
      </c>
      <c r="W64" s="36">
        <v>12788178</v>
      </c>
      <c r="X64" s="36">
        <v>18393266</v>
      </c>
      <c r="Y64" s="36">
        <v>15838243</v>
      </c>
      <c r="Z64" s="36">
        <v>16081878</v>
      </c>
      <c r="AB64" s="36">
        <v>3743760</v>
      </c>
      <c r="AC64" s="36">
        <v>3743760</v>
      </c>
      <c r="AD64" s="36">
        <v>7351260</v>
      </c>
    </row>
    <row r="65" spans="1:30">
      <c r="A65" s="81" t="s">
        <v>47</v>
      </c>
      <c r="B65" s="99" t="s">
        <v>324</v>
      </c>
      <c r="C65" s="81" t="str">
        <f>IF(VLOOKUP(B65,'Old vs New accounts'!$E$5:$G$97,1)=B65,VLOOKUP(B65,'Old vs New accounts'!$E$5:$G$97,3),0)</f>
        <v>20000</v>
      </c>
      <c r="D65" s="97">
        <v>136752654</v>
      </c>
      <c r="E65" s="97">
        <v>127793296</v>
      </c>
      <c r="F65" s="98">
        <v>127793296</v>
      </c>
      <c r="G65" s="97">
        <v>133742157</v>
      </c>
      <c r="H65" s="98">
        <v>133742157</v>
      </c>
      <c r="I65" s="98">
        <v>133742157</v>
      </c>
      <c r="J65" s="36">
        <v>118797992</v>
      </c>
      <c r="K65" s="36">
        <v>118797992</v>
      </c>
      <c r="L65" s="36">
        <v>116853073</v>
      </c>
      <c r="M65" s="36">
        <v>116780133</v>
      </c>
      <c r="N65" s="36">
        <v>121660143</v>
      </c>
      <c r="O65" s="36">
        <v>110931895</v>
      </c>
      <c r="P65" s="36">
        <v>113167674</v>
      </c>
      <c r="Q65" s="36">
        <v>113374133</v>
      </c>
      <c r="R65" s="36">
        <v>110691161</v>
      </c>
      <c r="S65" s="36">
        <v>98715157</v>
      </c>
      <c r="T65" s="36">
        <v>98715157</v>
      </c>
      <c r="U65" s="36">
        <v>98445696</v>
      </c>
      <c r="V65" s="36">
        <v>100089491</v>
      </c>
      <c r="W65" s="36">
        <v>98009886</v>
      </c>
      <c r="X65" s="36">
        <v>94667437</v>
      </c>
      <c r="Y65" s="36">
        <v>94612350</v>
      </c>
      <c r="Z65" s="36">
        <v>94672914</v>
      </c>
      <c r="AB65" s="36">
        <v>133742157</v>
      </c>
      <c r="AC65" s="36">
        <v>133742157</v>
      </c>
      <c r="AD65" s="36">
        <v>133742157</v>
      </c>
    </row>
    <row r="66" spans="1:30">
      <c r="A66" s="81" t="s">
        <v>48</v>
      </c>
      <c r="B66" s="99" t="s">
        <v>323</v>
      </c>
      <c r="C66" s="81" t="str">
        <f>IF(VLOOKUP(B66,'Old vs New accounts'!$E$5:$G$97,1)=B66,VLOOKUP(B66,'Old vs New accounts'!$E$5:$G$97,3),0)</f>
        <v>20001</v>
      </c>
      <c r="D66" s="97">
        <v>189870099</v>
      </c>
      <c r="E66" s="97">
        <v>187157477</v>
      </c>
      <c r="F66" s="98">
        <v>187157477</v>
      </c>
      <c r="G66" s="97">
        <v>177141176</v>
      </c>
      <c r="H66" s="98">
        <v>177141176</v>
      </c>
      <c r="I66" s="98">
        <v>177141176</v>
      </c>
      <c r="J66" s="36">
        <v>172367649</v>
      </c>
      <c r="K66" s="36">
        <v>172367649</v>
      </c>
      <c r="L66" s="36">
        <v>164757064</v>
      </c>
      <c r="M66" s="36">
        <v>159739692</v>
      </c>
      <c r="N66" s="36">
        <v>160208882</v>
      </c>
      <c r="O66" s="36">
        <v>163767929</v>
      </c>
      <c r="P66" s="36">
        <v>154633175</v>
      </c>
      <c r="Q66" s="36">
        <v>147858704</v>
      </c>
      <c r="R66" s="36">
        <v>142269368</v>
      </c>
      <c r="S66" s="36">
        <v>130281443</v>
      </c>
      <c r="T66" s="36">
        <v>126528053</v>
      </c>
      <c r="U66" s="36">
        <v>120896733</v>
      </c>
      <c r="V66" s="36">
        <v>113604781</v>
      </c>
      <c r="W66" s="36">
        <v>105528408</v>
      </c>
      <c r="X66" s="36">
        <v>95250687</v>
      </c>
      <c r="Y66" s="36">
        <v>89459914</v>
      </c>
      <c r="Z66" s="36">
        <v>82975729</v>
      </c>
      <c r="AB66" s="36">
        <v>177141176</v>
      </c>
      <c r="AC66" s="36">
        <v>177141176</v>
      </c>
      <c r="AD66" s="36">
        <v>177141176</v>
      </c>
    </row>
    <row r="67" spans="1:30">
      <c r="A67" s="81" t="s">
        <v>53</v>
      </c>
      <c r="B67" s="99" t="s">
        <v>112</v>
      </c>
      <c r="C67" s="81" t="str">
        <f>IF(VLOOKUP(B67,'Old vs New accounts'!$E$5:$G$97,1)=B67,VLOOKUP(B67,'Old vs New accounts'!$E$5:$G$97,3),0)</f>
        <v>30000</v>
      </c>
      <c r="D67" s="97">
        <v>13557955</v>
      </c>
      <c r="E67" s="97">
        <v>11298296</v>
      </c>
      <c r="F67" s="98">
        <v>11298296</v>
      </c>
      <c r="G67" s="97">
        <v>11298296</v>
      </c>
      <c r="H67" s="98">
        <v>11298296</v>
      </c>
      <c r="I67" s="98">
        <v>11298296</v>
      </c>
      <c r="J67" s="36">
        <v>11298296</v>
      </c>
      <c r="K67" s="36">
        <v>11298296</v>
      </c>
      <c r="L67" s="36">
        <v>11298296</v>
      </c>
      <c r="M67" s="36">
        <v>11298296</v>
      </c>
      <c r="N67" s="36">
        <v>7409851</v>
      </c>
      <c r="O67" s="36">
        <v>7409851</v>
      </c>
      <c r="P67" s="36">
        <v>7509851</v>
      </c>
      <c r="Q67" s="36">
        <v>20316309</v>
      </c>
      <c r="R67" s="36">
        <v>20316309</v>
      </c>
      <c r="S67" s="36">
        <v>21316309</v>
      </c>
      <c r="T67" s="36">
        <v>18144820</v>
      </c>
      <c r="U67" s="36">
        <v>12272714</v>
      </c>
      <c r="V67" s="36">
        <v>12272714</v>
      </c>
      <c r="W67" s="36">
        <v>11450844</v>
      </c>
      <c r="X67" s="36">
        <v>12673283</v>
      </c>
      <c r="Y67" s="36">
        <v>7045830</v>
      </c>
      <c r="Z67" s="36">
        <v>11151056</v>
      </c>
      <c r="AB67" s="36">
        <v>11298296</v>
      </c>
      <c r="AC67" s="36">
        <v>11298296</v>
      </c>
      <c r="AD67" s="36">
        <v>11298296</v>
      </c>
    </row>
    <row r="68" spans="1:30">
      <c r="A68" s="81" t="s">
        <v>119</v>
      </c>
      <c r="B68" s="99" t="s">
        <v>118</v>
      </c>
      <c r="C68" s="81" t="str">
        <f>IF(VLOOKUP(B68,'Old vs New accounts'!$E$5:$G$97,1)=B68,VLOOKUP(B68,'Old vs New accounts'!$E$5:$G$97,3),0)</f>
        <v>30010</v>
      </c>
      <c r="D68" s="97">
        <v>23353427</v>
      </c>
      <c r="E68" s="97">
        <v>19041768</v>
      </c>
      <c r="F68" s="98">
        <v>19041768</v>
      </c>
      <c r="G68" s="97">
        <v>26082606</v>
      </c>
      <c r="H68" s="98">
        <v>25997981</v>
      </c>
      <c r="I68" s="98">
        <v>18183981</v>
      </c>
      <c r="J68" s="36">
        <v>22136497</v>
      </c>
      <c r="K68" s="36">
        <v>20376497</v>
      </c>
      <c r="L68" s="36">
        <v>16554569</v>
      </c>
      <c r="M68" s="36">
        <v>18519369</v>
      </c>
      <c r="N68" s="36">
        <v>12392861</v>
      </c>
      <c r="O68" s="36">
        <v>12109784</v>
      </c>
      <c r="P68" s="36">
        <v>13487601</v>
      </c>
      <c r="Q68" s="36">
        <v>17852350</v>
      </c>
      <c r="R68" s="36">
        <v>30102427</v>
      </c>
      <c r="S68" s="36">
        <v>28417771</v>
      </c>
      <c r="T68" s="36">
        <v>20579332</v>
      </c>
      <c r="U68" s="36">
        <v>10414279</v>
      </c>
      <c r="V68" s="36">
        <v>4855991</v>
      </c>
      <c r="W68" s="36">
        <v>4256813</v>
      </c>
      <c r="X68" s="36">
        <v>15465319</v>
      </c>
      <c r="Y68" s="36">
        <v>11193438</v>
      </c>
      <c r="Z68" s="36">
        <v>8180936</v>
      </c>
      <c r="AB68" s="36">
        <v>18183981</v>
      </c>
      <c r="AC68" s="36">
        <v>18183981</v>
      </c>
      <c r="AD68" s="36">
        <v>18718981</v>
      </c>
    </row>
    <row r="69" spans="1:30">
      <c r="A69" s="81" t="s">
        <v>57</v>
      </c>
      <c r="B69" s="99" t="s">
        <v>124</v>
      </c>
      <c r="C69" s="81" t="str">
        <f>IF(VLOOKUP(B69,'Old vs New accounts'!$E$5:$G$97,1)=B69,VLOOKUP(B69,'Old vs New accounts'!$E$5:$G$97,3),0)</f>
        <v>30020</v>
      </c>
      <c r="D69" s="97">
        <v>5000000</v>
      </c>
      <c r="E69" s="97">
        <v>2700000</v>
      </c>
      <c r="F69" s="98">
        <v>2700000</v>
      </c>
      <c r="G69" s="97">
        <v>5550000</v>
      </c>
      <c r="H69" s="98">
        <v>5550000</v>
      </c>
      <c r="I69" s="98">
        <v>2700000</v>
      </c>
      <c r="J69" s="36">
        <v>5000000</v>
      </c>
      <c r="K69" s="36">
        <v>5000000</v>
      </c>
      <c r="L69" s="36">
        <v>0</v>
      </c>
      <c r="M69" s="36">
        <v>0</v>
      </c>
      <c r="N69" s="36">
        <v>3000000</v>
      </c>
      <c r="O69" s="36">
        <v>7470000</v>
      </c>
      <c r="P69" s="36">
        <v>6924321</v>
      </c>
      <c r="Q69" s="36">
        <v>1943321</v>
      </c>
      <c r="R69" s="36">
        <v>5641000</v>
      </c>
      <c r="S69" s="36">
        <v>11394059</v>
      </c>
      <c r="T69" s="36">
        <v>0</v>
      </c>
      <c r="U69" s="36">
        <v>0</v>
      </c>
      <c r="V69" s="36">
        <v>0</v>
      </c>
      <c r="W69" s="36">
        <v>0</v>
      </c>
      <c r="X69" s="36">
        <v>0</v>
      </c>
      <c r="Y69" s="36">
        <v>0</v>
      </c>
      <c r="Z69" s="36">
        <v>0</v>
      </c>
      <c r="AB69" s="36">
        <v>2700000</v>
      </c>
      <c r="AC69" s="36">
        <v>2700000</v>
      </c>
      <c r="AD69" s="36">
        <v>8000000</v>
      </c>
    </row>
    <row r="70" spans="1:30">
      <c r="A70" s="81" t="s">
        <v>50</v>
      </c>
      <c r="B70" s="99" t="s">
        <v>130</v>
      </c>
      <c r="C70" s="81" t="str">
        <f>IF(VLOOKUP(B70,'Old vs New accounts'!$E$5:$G$97,1)=B70,VLOOKUP(B70,'Old vs New accounts'!$E$5:$G$97,3),0)</f>
        <v>30030</v>
      </c>
      <c r="D70" s="97"/>
      <c r="E70" s="97"/>
      <c r="F70" s="98"/>
      <c r="G70" s="97"/>
      <c r="H70" s="98"/>
      <c r="I70" s="98"/>
      <c r="J70" s="36"/>
      <c r="K70" s="36">
        <v>0</v>
      </c>
      <c r="L70" s="36">
        <v>0</v>
      </c>
      <c r="M70" s="36">
        <v>0</v>
      </c>
      <c r="N70" s="36">
        <v>0</v>
      </c>
      <c r="O70" s="36">
        <v>0</v>
      </c>
      <c r="P70" s="36">
        <v>0</v>
      </c>
      <c r="Q70" s="36">
        <v>0</v>
      </c>
      <c r="R70" s="36">
        <v>0</v>
      </c>
      <c r="S70" s="36">
        <v>3568882</v>
      </c>
      <c r="T70" s="36">
        <v>885000</v>
      </c>
      <c r="U70" s="36">
        <v>0</v>
      </c>
      <c r="V70" s="36">
        <v>550000</v>
      </c>
      <c r="W70" s="36">
        <v>0</v>
      </c>
      <c r="X70" s="36">
        <v>240000</v>
      </c>
      <c r="Y70" s="36">
        <v>0</v>
      </c>
      <c r="Z70" s="36">
        <v>0</v>
      </c>
      <c r="AB70" s="36">
        <v>0</v>
      </c>
      <c r="AC70" s="36"/>
      <c r="AD70" s="36"/>
    </row>
    <row r="71" spans="1:30">
      <c r="A71" s="81" t="s">
        <v>489</v>
      </c>
      <c r="B71" s="99" t="s">
        <v>142</v>
      </c>
      <c r="C71" s="81" t="str">
        <f>IF(VLOOKUP(B71,'Old vs New accounts'!$E$5:$G$97,1)=B71,VLOOKUP(B71,'Old vs New accounts'!$E$5:$G$97,3),0)</f>
        <v>30050</v>
      </c>
      <c r="F71" s="98">
        <v>0</v>
      </c>
      <c r="H71" s="98">
        <v>0</v>
      </c>
      <c r="I71" s="98">
        <v>0</v>
      </c>
      <c r="J71" s="36">
        <v>200000</v>
      </c>
      <c r="K71" s="36">
        <v>200000</v>
      </c>
      <c r="L71" s="36">
        <v>200000</v>
      </c>
      <c r="M71" s="36">
        <v>250000</v>
      </c>
      <c r="N71" s="36">
        <v>0</v>
      </c>
      <c r="O71" s="36">
        <v>0</v>
      </c>
      <c r="P71" s="36">
        <v>0</v>
      </c>
      <c r="Q71" s="36">
        <v>0</v>
      </c>
      <c r="R71" s="36">
        <v>1000000</v>
      </c>
      <c r="S71" s="36">
        <v>1000000</v>
      </c>
      <c r="T71" s="36">
        <v>1000000</v>
      </c>
      <c r="U71" s="36">
        <v>0</v>
      </c>
      <c r="V71" s="36">
        <v>0</v>
      </c>
      <c r="W71" s="36">
        <v>350000</v>
      </c>
      <c r="X71" s="36">
        <v>423277</v>
      </c>
      <c r="Y71" s="36">
        <v>1167400</v>
      </c>
      <c r="Z71" s="36">
        <v>0</v>
      </c>
      <c r="AB71" s="36">
        <v>0</v>
      </c>
      <c r="AC71" s="36">
        <v>0</v>
      </c>
      <c r="AD71" s="36">
        <v>0</v>
      </c>
    </row>
    <row r="72" spans="1:30">
      <c r="A72" s="81" t="s">
        <v>51</v>
      </c>
      <c r="B72" s="99" t="s">
        <v>148</v>
      </c>
      <c r="C72" s="81" t="str">
        <f>IF(VLOOKUP(B72,'Old vs New accounts'!$E$5:$G$97,1)=B72,VLOOKUP(B72,'Old vs New accounts'!$E$5:$G$97,3),0)</f>
        <v>30060</v>
      </c>
      <c r="D72" s="97">
        <v>400000</v>
      </c>
      <c r="E72" s="97">
        <v>300000</v>
      </c>
      <c r="F72" s="98">
        <v>300000</v>
      </c>
      <c r="G72" s="97">
        <v>300000</v>
      </c>
      <c r="H72" s="98">
        <v>300000</v>
      </c>
      <c r="I72" s="98">
        <v>300000</v>
      </c>
      <c r="J72" s="36">
        <v>300000</v>
      </c>
      <c r="K72" s="36">
        <v>300000</v>
      </c>
      <c r="L72" s="36">
        <v>300000</v>
      </c>
      <c r="M72" s="36">
        <v>100000</v>
      </c>
      <c r="N72" s="36">
        <v>0</v>
      </c>
      <c r="O72" s="36">
        <v>0</v>
      </c>
      <c r="P72" s="36">
        <v>0</v>
      </c>
      <c r="Q72" s="36">
        <v>0</v>
      </c>
      <c r="R72" s="36">
        <v>505000</v>
      </c>
      <c r="S72" s="36">
        <v>0</v>
      </c>
      <c r="T72" s="36">
        <v>375000</v>
      </c>
      <c r="U72" s="36">
        <v>0</v>
      </c>
      <c r="V72" s="36">
        <v>0</v>
      </c>
      <c r="W72" s="36">
        <v>0</v>
      </c>
      <c r="X72" s="36">
        <v>800000</v>
      </c>
      <c r="Y72" s="36">
        <v>1100000</v>
      </c>
      <c r="Z72" s="36">
        <v>2000000</v>
      </c>
      <c r="AB72" s="36">
        <v>300000</v>
      </c>
      <c r="AC72" s="36">
        <v>300000</v>
      </c>
      <c r="AD72" s="36">
        <v>300000</v>
      </c>
    </row>
    <row r="73" spans="1:30">
      <c r="A73" s="81" t="s">
        <v>55</v>
      </c>
      <c r="B73" s="99" t="s">
        <v>154</v>
      </c>
      <c r="C73" s="81" t="str">
        <f>IF(VLOOKUP(B73,'Old vs New accounts'!$E$5:$G$97,1)=B73,VLOOKUP(B73,'Old vs New accounts'!$E$5:$G$97,3),0)</f>
        <v>30070</v>
      </c>
      <c r="D73" s="97">
        <v>100000</v>
      </c>
      <c r="E73" s="97">
        <v>0</v>
      </c>
      <c r="F73" s="98">
        <v>0</v>
      </c>
      <c r="G73" s="97">
        <v>5750000</v>
      </c>
      <c r="H73" s="98">
        <v>5750000</v>
      </c>
      <c r="I73" s="98">
        <v>0</v>
      </c>
      <c r="J73" s="36">
        <v>0</v>
      </c>
      <c r="K73" s="36">
        <v>0</v>
      </c>
      <c r="L73" s="36">
        <v>0</v>
      </c>
      <c r="M73" s="36">
        <v>242595</v>
      </c>
      <c r="N73" s="36">
        <v>0</v>
      </c>
      <c r="O73" s="36">
        <v>800000</v>
      </c>
      <c r="P73" s="36">
        <v>800000</v>
      </c>
      <c r="Q73" s="36">
        <v>4820972</v>
      </c>
      <c r="R73" s="36">
        <v>7605150</v>
      </c>
      <c r="S73" s="36">
        <v>19445000</v>
      </c>
      <c r="T73" s="36">
        <v>33089210</v>
      </c>
      <c r="U73" s="36">
        <v>29646045</v>
      </c>
      <c r="V73" s="36">
        <v>0</v>
      </c>
      <c r="W73" s="36">
        <v>0</v>
      </c>
      <c r="X73" s="36">
        <v>0</v>
      </c>
      <c r="Y73" s="36">
        <v>0</v>
      </c>
      <c r="Z73" s="36">
        <v>0</v>
      </c>
      <c r="AB73" s="36">
        <v>0</v>
      </c>
      <c r="AC73" s="36"/>
      <c r="AD73" s="36"/>
    </row>
    <row r="74" spans="1:30">
      <c r="A74" s="81" t="s">
        <v>161</v>
      </c>
      <c r="B74" s="99" t="s">
        <v>160</v>
      </c>
      <c r="C74" s="81" t="str">
        <f>IF(VLOOKUP(B74,'Old vs New accounts'!$E$5:$G$97,1)=B74,VLOOKUP(B74,'Old vs New accounts'!$E$5:$G$97,3),0)</f>
        <v>30080</v>
      </c>
      <c r="F74" s="98"/>
      <c r="H74" s="98"/>
      <c r="I74" s="98"/>
      <c r="J74" s="36"/>
      <c r="K74" s="36">
        <v>0</v>
      </c>
      <c r="L74" s="36">
        <v>950000</v>
      </c>
      <c r="M74" s="36">
        <v>0</v>
      </c>
      <c r="N74" s="36">
        <v>0</v>
      </c>
      <c r="O74" s="36">
        <v>0</v>
      </c>
      <c r="P74" s="36">
        <v>0</v>
      </c>
      <c r="Q74" s="36">
        <v>0</v>
      </c>
      <c r="R74" s="36">
        <v>0</v>
      </c>
      <c r="S74" s="36">
        <v>0</v>
      </c>
      <c r="T74" s="36">
        <v>0</v>
      </c>
      <c r="U74" s="36">
        <v>0</v>
      </c>
      <c r="V74" s="36">
        <v>0</v>
      </c>
      <c r="W74" s="36">
        <v>0</v>
      </c>
      <c r="X74" s="36">
        <v>0</v>
      </c>
      <c r="Y74" s="36">
        <v>0</v>
      </c>
      <c r="Z74" s="36">
        <v>0</v>
      </c>
      <c r="AB74" s="36">
        <v>0</v>
      </c>
      <c r="AC74" s="36">
        <v>0</v>
      </c>
      <c r="AD74" s="36">
        <v>0</v>
      </c>
    </row>
    <row r="75" spans="1:30">
      <c r="A75" s="81" t="s">
        <v>59</v>
      </c>
      <c r="B75" s="99" t="s">
        <v>166</v>
      </c>
      <c r="C75" s="81" t="str">
        <f>IF(VLOOKUP(B75,'Old vs New accounts'!$E$5:$G$97,1)=B75,VLOOKUP(B75,'Old vs New accounts'!$E$5:$G$97,3),0)</f>
        <v>30300</v>
      </c>
      <c r="D75" s="81"/>
      <c r="E75" s="97"/>
      <c r="F75" s="98"/>
      <c r="G75" s="97"/>
      <c r="H75" s="98"/>
      <c r="I75" s="98"/>
      <c r="J75" s="36"/>
      <c r="K75" s="36">
        <v>0</v>
      </c>
      <c r="L75" s="36">
        <v>1058750</v>
      </c>
      <c r="M75" s="36">
        <v>0</v>
      </c>
      <c r="N75" s="36">
        <v>0</v>
      </c>
      <c r="O75" s="36">
        <v>0</v>
      </c>
      <c r="P75" s="36">
        <v>0</v>
      </c>
      <c r="Q75" s="36">
        <v>0</v>
      </c>
      <c r="R75" s="36">
        <v>0</v>
      </c>
      <c r="S75" s="36">
        <v>17900000</v>
      </c>
      <c r="T75" s="36">
        <v>0</v>
      </c>
      <c r="U75" s="36">
        <v>0</v>
      </c>
      <c r="V75" s="36">
        <v>0</v>
      </c>
      <c r="W75" s="36">
        <v>0</v>
      </c>
      <c r="X75" s="36">
        <v>0</v>
      </c>
      <c r="Y75" s="36">
        <v>0</v>
      </c>
      <c r="Z75" s="36">
        <v>0</v>
      </c>
      <c r="AB75" s="36">
        <v>0</v>
      </c>
      <c r="AC75" s="36">
        <v>0</v>
      </c>
      <c r="AD75" s="36">
        <v>0</v>
      </c>
    </row>
    <row r="76" spans="1:30">
      <c r="A76" s="81" t="s">
        <v>60</v>
      </c>
      <c r="B76" s="99" t="s">
        <v>171</v>
      </c>
      <c r="C76" s="81" t="str">
        <f>IF(VLOOKUP(B76,'Old vs New accounts'!$E$5:$G$97,1)=B76,VLOOKUP(B76,'Old vs New accounts'!$E$5:$G$97,3),0)</f>
        <v>30310</v>
      </c>
      <c r="D76" s="81"/>
      <c r="E76" s="97"/>
      <c r="F76" s="98"/>
      <c r="G76" s="97"/>
      <c r="H76" s="98"/>
      <c r="I76" s="98"/>
      <c r="J76" s="36"/>
      <c r="K76" s="36">
        <v>0</v>
      </c>
      <c r="L76" s="36">
        <v>0</v>
      </c>
      <c r="M76" s="36">
        <v>515000</v>
      </c>
      <c r="N76" s="36">
        <v>515000</v>
      </c>
      <c r="O76" s="36">
        <v>515000</v>
      </c>
      <c r="P76" s="36">
        <v>695000</v>
      </c>
      <c r="Q76" s="36">
        <v>514625</v>
      </c>
      <c r="R76" s="36">
        <v>1285000</v>
      </c>
      <c r="S76" s="36">
        <v>935000</v>
      </c>
      <c r="T76" s="36">
        <v>2935000</v>
      </c>
      <c r="U76" s="36">
        <v>935000</v>
      </c>
      <c r="V76" s="36">
        <v>1600000</v>
      </c>
      <c r="W76" s="36">
        <v>1850000</v>
      </c>
      <c r="X76" s="36">
        <v>2883404</v>
      </c>
      <c r="Y76" s="36">
        <v>500000</v>
      </c>
      <c r="Z76" s="36">
        <v>320000</v>
      </c>
      <c r="AB76" s="36">
        <v>0</v>
      </c>
      <c r="AC76" s="36"/>
      <c r="AD76" s="36"/>
    </row>
    <row r="77" spans="1:30">
      <c r="A77" s="81" t="s">
        <v>33</v>
      </c>
      <c r="B77" s="99" t="s">
        <v>85</v>
      </c>
      <c r="C77" s="81" t="str">
        <f>IF(VLOOKUP(B77,'Old vs New accounts'!$E$5:$G$97,1)=B77,VLOOKUP(B77,'Old vs New accounts'!$E$5:$G$97,3),0)</f>
        <v>40000</v>
      </c>
      <c r="D77" s="97">
        <v>34929649</v>
      </c>
      <c r="E77" s="97">
        <v>34547739</v>
      </c>
      <c r="F77" s="98">
        <v>34547739</v>
      </c>
      <c r="G77" s="97">
        <v>34547739</v>
      </c>
      <c r="H77" s="98">
        <v>34547739</v>
      </c>
      <c r="I77" s="98">
        <v>34547739</v>
      </c>
      <c r="J77" s="36">
        <v>34547739</v>
      </c>
      <c r="K77" s="36">
        <v>34547739</v>
      </c>
      <c r="L77" s="36">
        <v>36547739</v>
      </c>
      <c r="M77" s="36">
        <v>34455482</v>
      </c>
      <c r="N77" s="36">
        <v>31992047</v>
      </c>
      <c r="O77" s="36">
        <v>21562367</v>
      </c>
      <c r="P77" s="36">
        <v>33377083</v>
      </c>
      <c r="Q77" s="36">
        <v>34667083</v>
      </c>
      <c r="R77" s="36">
        <v>30995510</v>
      </c>
      <c r="S77" s="36">
        <v>26387571</v>
      </c>
      <c r="T77" s="36">
        <v>21360147</v>
      </c>
      <c r="U77" s="36">
        <v>19645993</v>
      </c>
      <c r="V77" s="36">
        <v>17938844</v>
      </c>
      <c r="W77" s="36">
        <v>16063083</v>
      </c>
      <c r="X77" s="36">
        <v>15902018</v>
      </c>
      <c r="Y77" s="36">
        <v>18776920</v>
      </c>
      <c r="Z77" s="36">
        <v>20917278</v>
      </c>
      <c r="AB77" s="36">
        <v>34547739</v>
      </c>
      <c r="AC77" s="36">
        <v>34547739</v>
      </c>
      <c r="AD77" s="36">
        <v>34547739</v>
      </c>
    </row>
    <row r="78" spans="1:30">
      <c r="A78" s="81" t="s">
        <v>37</v>
      </c>
      <c r="B78" s="99" t="s">
        <v>102</v>
      </c>
      <c r="C78" s="81" t="str">
        <f>IF(VLOOKUP(B78,'Old vs New accounts'!$E$5:$G$97,1)=B78,VLOOKUP(B78,'Old vs New accounts'!$E$5:$G$97,3),0)</f>
        <v>40040</v>
      </c>
      <c r="D78" s="97">
        <v>122885940</v>
      </c>
      <c r="E78" s="97">
        <v>115488498</v>
      </c>
      <c r="F78" s="98">
        <v>114894398</v>
      </c>
      <c r="G78" s="97">
        <v>112186215</v>
      </c>
      <c r="H78" s="98">
        <v>113316215</v>
      </c>
      <c r="I78" s="98">
        <v>113316215</v>
      </c>
      <c r="J78" s="36">
        <v>110081034</v>
      </c>
      <c r="K78" s="36">
        <v>110041222</v>
      </c>
      <c r="L78" s="36">
        <v>109610515</v>
      </c>
      <c r="M78" s="36">
        <v>100496382</v>
      </c>
      <c r="N78" s="36">
        <v>93127107</v>
      </c>
      <c r="O78" s="36">
        <v>93615029</v>
      </c>
      <c r="P78" s="36">
        <v>101430831</v>
      </c>
      <c r="Q78" s="36">
        <v>100317845</v>
      </c>
      <c r="R78" s="36">
        <v>97935840</v>
      </c>
      <c r="S78" s="36">
        <v>90977221</v>
      </c>
      <c r="T78" s="36">
        <v>82067279</v>
      </c>
      <c r="U78" s="36">
        <v>80599965</v>
      </c>
      <c r="V78" s="36">
        <v>78401580</v>
      </c>
      <c r="W78" s="36">
        <v>74594347</v>
      </c>
      <c r="X78" s="36">
        <v>67936678</v>
      </c>
      <c r="Y78" s="36">
        <v>58679618</v>
      </c>
      <c r="Z78" s="17">
        <v>52490698</v>
      </c>
      <c r="AB78" s="36">
        <v>113316215</v>
      </c>
      <c r="AC78" s="36">
        <v>113316215</v>
      </c>
      <c r="AD78" s="36">
        <v>112570435</v>
      </c>
    </row>
    <row r="79" spans="1:30">
      <c r="A79" s="81" t="s">
        <v>43</v>
      </c>
      <c r="B79" s="99" t="s">
        <v>167</v>
      </c>
      <c r="C79" s="81" t="str">
        <f>IF(VLOOKUP(B79,'Old vs New accounts'!$E$5:$G$97,1)=B79,VLOOKUP(B79,'Old vs New accounts'!$E$5:$G$97,3),0)</f>
        <v>40090</v>
      </c>
      <c r="D79" s="97">
        <v>0</v>
      </c>
      <c r="E79" s="97">
        <v>0</v>
      </c>
      <c r="F79" s="98">
        <v>0</v>
      </c>
      <c r="G79" s="97">
        <v>0</v>
      </c>
      <c r="H79" s="98">
        <v>0</v>
      </c>
      <c r="I79" s="98">
        <v>0</v>
      </c>
      <c r="J79" s="36">
        <v>17279271</v>
      </c>
      <c r="K79" s="36">
        <v>17279271</v>
      </c>
      <c r="L79" s="36">
        <v>15256778</v>
      </c>
      <c r="M79" s="36">
        <v>14376992</v>
      </c>
      <c r="N79" s="36">
        <v>14058303</v>
      </c>
      <c r="O79" s="36">
        <v>10823062</v>
      </c>
      <c r="P79" s="36">
        <v>10605659</v>
      </c>
      <c r="Q79" s="36">
        <v>8983533</v>
      </c>
      <c r="R79" s="36">
        <v>8892287</v>
      </c>
      <c r="S79" s="36">
        <v>13745258</v>
      </c>
      <c r="T79" s="36">
        <v>9755869</v>
      </c>
      <c r="U79" s="36">
        <v>6323943</v>
      </c>
      <c r="V79" s="36">
        <v>6974098</v>
      </c>
      <c r="W79" s="36">
        <v>5291176</v>
      </c>
      <c r="X79" s="36">
        <v>2587445</v>
      </c>
      <c r="Y79" s="36">
        <v>0</v>
      </c>
      <c r="Z79" s="36">
        <v>0</v>
      </c>
      <c r="AB79" s="36">
        <v>0</v>
      </c>
      <c r="AC79" s="36">
        <v>0</v>
      </c>
      <c r="AD79" s="36">
        <v>0</v>
      </c>
    </row>
    <row r="80" spans="1:30">
      <c r="A80" s="81" t="s">
        <v>190</v>
      </c>
      <c r="B80" s="99" t="s">
        <v>188</v>
      </c>
      <c r="C80" s="81" t="str">
        <f>IF(VLOOKUP(B80,'Old vs New accounts'!$E$5:$G$97,1)=B80,VLOOKUP(B80,'Old vs New accounts'!$E$5:$G$97,3),0)</f>
        <v>40100</v>
      </c>
      <c r="F80" s="98"/>
      <c r="H80" s="98"/>
      <c r="I80" s="98"/>
      <c r="J80" s="36"/>
      <c r="K80" s="36">
        <v>0</v>
      </c>
      <c r="L80" s="36">
        <v>0</v>
      </c>
      <c r="M80" s="36">
        <v>0</v>
      </c>
      <c r="N80" s="36">
        <v>0</v>
      </c>
      <c r="O80" s="36">
        <v>362967</v>
      </c>
      <c r="P80" s="36">
        <v>0</v>
      </c>
      <c r="Q80" s="36">
        <v>0</v>
      </c>
      <c r="R80" s="36">
        <v>0</v>
      </c>
      <c r="S80" s="36">
        <v>0</v>
      </c>
      <c r="T80" s="36">
        <v>0</v>
      </c>
      <c r="U80" s="36">
        <v>0</v>
      </c>
      <c r="V80" s="36">
        <v>0</v>
      </c>
      <c r="W80" s="36">
        <v>0</v>
      </c>
      <c r="X80" s="36">
        <v>0</v>
      </c>
      <c r="Y80" s="36">
        <v>0</v>
      </c>
      <c r="Z80" s="36">
        <v>0</v>
      </c>
      <c r="AB80" s="36">
        <v>0</v>
      </c>
      <c r="AC80" s="36"/>
      <c r="AD80" s="36"/>
    </row>
    <row r="81" spans="1:30">
      <c r="A81" s="81" t="s">
        <v>38</v>
      </c>
      <c r="B81" s="99" t="s">
        <v>108</v>
      </c>
      <c r="C81" s="81" t="str">
        <f>IF(VLOOKUP(B81,'Old vs New accounts'!$E$5:$G$97,1)=B81,VLOOKUP(B81,'Old vs New accounts'!$E$5:$G$97,3),0)</f>
        <v>40140</v>
      </c>
      <c r="D81" s="81"/>
      <c r="E81" s="97"/>
      <c r="F81" s="98"/>
      <c r="G81" s="97"/>
      <c r="H81" s="98"/>
      <c r="I81" s="98"/>
      <c r="J81" s="36"/>
      <c r="K81" s="36">
        <v>0</v>
      </c>
      <c r="L81" s="36">
        <v>0</v>
      </c>
      <c r="M81" s="36">
        <v>0</v>
      </c>
      <c r="N81" s="36">
        <v>0</v>
      </c>
      <c r="O81" s="36">
        <v>0</v>
      </c>
      <c r="P81" s="36">
        <v>0</v>
      </c>
      <c r="Q81" s="36">
        <v>0</v>
      </c>
      <c r="R81" s="36">
        <v>90000</v>
      </c>
      <c r="S81" s="36">
        <v>210000</v>
      </c>
      <c r="T81" s="36">
        <v>210000</v>
      </c>
      <c r="U81" s="36">
        <v>0</v>
      </c>
      <c r="V81" s="36">
        <v>9622</v>
      </c>
      <c r="W81" s="36">
        <v>0</v>
      </c>
      <c r="X81" s="36">
        <v>0</v>
      </c>
      <c r="Y81" s="36">
        <v>0</v>
      </c>
      <c r="Z81" s="36">
        <v>0</v>
      </c>
      <c r="AB81" s="36">
        <v>0</v>
      </c>
      <c r="AC81" s="36"/>
      <c r="AD81" s="36"/>
    </row>
    <row r="82" spans="1:30">
      <c r="A82" s="81" t="s">
        <v>39</v>
      </c>
      <c r="B82" s="99" t="s">
        <v>114</v>
      </c>
      <c r="C82" s="81" t="str">
        <f>IF(VLOOKUP(B82,'Old vs New accounts'!$E$5:$G$97,1)=B82,VLOOKUP(B82,'Old vs New accounts'!$E$5:$G$97,3),0)</f>
        <v>40150</v>
      </c>
      <c r="D82" s="81"/>
      <c r="E82" s="97"/>
      <c r="F82" s="98"/>
      <c r="G82" s="97"/>
      <c r="H82" s="98"/>
      <c r="I82" s="98"/>
      <c r="J82" s="36"/>
      <c r="K82" s="36">
        <v>0</v>
      </c>
      <c r="L82" s="36">
        <v>0</v>
      </c>
      <c r="M82" s="36">
        <v>0</v>
      </c>
      <c r="N82" s="36">
        <v>0</v>
      </c>
      <c r="O82" s="36">
        <v>0</v>
      </c>
      <c r="P82" s="36">
        <v>0</v>
      </c>
      <c r="Q82" s="36">
        <v>2500000</v>
      </c>
      <c r="R82" s="36">
        <v>2500000</v>
      </c>
      <c r="S82" s="36">
        <v>2500000</v>
      </c>
      <c r="T82" s="36">
        <v>2500000</v>
      </c>
      <c r="U82" s="36">
        <v>1800000</v>
      </c>
      <c r="V82" s="36">
        <v>3439291</v>
      </c>
      <c r="W82" s="36">
        <v>5500000</v>
      </c>
      <c r="X82" s="36">
        <v>0</v>
      </c>
      <c r="Y82" s="36">
        <v>1500000</v>
      </c>
      <c r="Z82" s="36">
        <v>0</v>
      </c>
      <c r="AB82" s="36">
        <v>0</v>
      </c>
      <c r="AC82" s="36"/>
      <c r="AD82" s="36"/>
    </row>
    <row r="83" spans="1:30">
      <c r="A83" s="81" t="s">
        <v>40</v>
      </c>
      <c r="B83" s="99" t="s">
        <v>126</v>
      </c>
      <c r="C83" s="81" t="str">
        <f>IF(VLOOKUP(B83,'Old vs New accounts'!$E$5:$G$97,1)=B83,VLOOKUP(B83,'Old vs New accounts'!$E$5:$G$97,3),0)</f>
        <v>40160</v>
      </c>
      <c r="D83" s="81"/>
      <c r="E83" s="97"/>
      <c r="F83" s="98"/>
      <c r="G83" s="97"/>
      <c r="H83" s="98"/>
      <c r="I83" s="98"/>
      <c r="J83" s="36"/>
      <c r="K83" s="36">
        <v>0</v>
      </c>
      <c r="L83" s="36">
        <v>0</v>
      </c>
      <c r="M83" s="36">
        <v>0</v>
      </c>
      <c r="N83" s="36">
        <v>1745506</v>
      </c>
      <c r="O83" s="36">
        <v>1722908</v>
      </c>
      <c r="P83" s="36">
        <v>1559549</v>
      </c>
      <c r="Q83" s="36">
        <v>1491162</v>
      </c>
      <c r="R83" s="36">
        <v>1365637</v>
      </c>
      <c r="S83" s="36">
        <v>1578057</v>
      </c>
      <c r="T83" s="36">
        <v>2014489</v>
      </c>
      <c r="U83" s="36">
        <v>1763704</v>
      </c>
      <c r="V83" s="36">
        <v>0</v>
      </c>
      <c r="W83" s="36">
        <v>0</v>
      </c>
      <c r="X83" s="36">
        <v>0</v>
      </c>
      <c r="Y83" s="36">
        <v>0</v>
      </c>
      <c r="Z83" s="36">
        <v>0</v>
      </c>
      <c r="AB83" s="36">
        <v>0</v>
      </c>
      <c r="AC83" s="36"/>
      <c r="AD83" s="36"/>
    </row>
    <row r="84" spans="1:30">
      <c r="A84" s="81" t="s">
        <v>45</v>
      </c>
      <c r="B84" s="99" t="s">
        <v>200</v>
      </c>
      <c r="C84" s="81" t="str">
        <f>IF(VLOOKUP(B84,'Old vs New accounts'!$E$5:$G$97,1)=B84,VLOOKUP(B84,'Old vs New accounts'!$E$5:$G$97,3),0)</f>
        <v>40300</v>
      </c>
      <c r="D84" s="81"/>
      <c r="E84" s="97"/>
      <c r="F84" s="98"/>
      <c r="G84" s="97"/>
      <c r="H84" s="98"/>
      <c r="I84" s="98"/>
      <c r="J84" s="36"/>
      <c r="K84" s="36">
        <v>0</v>
      </c>
      <c r="L84" s="36">
        <v>0</v>
      </c>
      <c r="M84" s="36">
        <v>0</v>
      </c>
      <c r="N84" s="36">
        <v>0</v>
      </c>
      <c r="O84" s="36">
        <v>0</v>
      </c>
      <c r="P84" s="36">
        <v>0</v>
      </c>
      <c r="Q84" s="36">
        <v>0</v>
      </c>
      <c r="R84" s="36">
        <v>0</v>
      </c>
      <c r="S84" s="36">
        <v>0</v>
      </c>
      <c r="T84" s="36">
        <v>4020000</v>
      </c>
      <c r="U84" s="36">
        <v>1500000</v>
      </c>
      <c r="V84" s="36">
        <v>0</v>
      </c>
      <c r="W84" s="36">
        <v>300000</v>
      </c>
      <c r="X84" s="36">
        <v>1900000</v>
      </c>
      <c r="Y84" s="36">
        <v>0</v>
      </c>
      <c r="Z84" s="36">
        <v>0</v>
      </c>
      <c r="AB84" s="36">
        <v>0</v>
      </c>
      <c r="AC84" s="36"/>
      <c r="AD84" s="36"/>
    </row>
    <row r="85" spans="1:30">
      <c r="A85" s="81" t="s">
        <v>44</v>
      </c>
      <c r="B85" s="99" t="s">
        <v>191</v>
      </c>
      <c r="C85" s="81" t="str">
        <f>IF(VLOOKUP(B85,'Old vs New accounts'!$E$5:$G$97,1)=B85,VLOOKUP(B85,'Old vs New accounts'!$E$5:$G$97,3),0)</f>
        <v>40330</v>
      </c>
      <c r="D85" s="97">
        <v>1923159</v>
      </c>
      <c r="E85" s="97">
        <v>1896649</v>
      </c>
      <c r="F85" s="98">
        <v>1894615</v>
      </c>
      <c r="G85" s="97">
        <v>1869683</v>
      </c>
      <c r="H85" s="98">
        <v>1869683</v>
      </c>
      <c r="I85" s="98">
        <v>1869683</v>
      </c>
      <c r="J85" s="36">
        <v>1864271</v>
      </c>
      <c r="K85" s="36">
        <v>1864271</v>
      </c>
      <c r="L85" s="36">
        <v>2043297</v>
      </c>
      <c r="M85" s="36">
        <v>2004183</v>
      </c>
      <c r="N85" s="36">
        <v>1989225</v>
      </c>
      <c r="O85" s="36">
        <v>2033225</v>
      </c>
      <c r="P85" s="36">
        <v>1491723</v>
      </c>
      <c r="Q85" s="36">
        <v>1525414</v>
      </c>
      <c r="R85" s="36">
        <v>1695052</v>
      </c>
      <c r="S85" s="36">
        <v>1389421</v>
      </c>
      <c r="T85" s="36">
        <v>1387844</v>
      </c>
      <c r="U85" s="36">
        <v>1215433</v>
      </c>
      <c r="V85" s="36">
        <v>1237474</v>
      </c>
      <c r="W85" s="36">
        <v>1190661</v>
      </c>
      <c r="X85" s="36">
        <v>1359404</v>
      </c>
      <c r="Y85" s="36">
        <v>1332125</v>
      </c>
      <c r="Z85" s="17">
        <v>1263871</v>
      </c>
      <c r="AB85" s="36">
        <v>1869683</v>
      </c>
      <c r="AC85" s="36">
        <v>1869683</v>
      </c>
      <c r="AD85" s="36">
        <v>1862125</v>
      </c>
    </row>
    <row r="86" spans="1:30">
      <c r="A86" s="81" t="s">
        <v>34</v>
      </c>
      <c r="B86" s="99" t="s">
        <v>91</v>
      </c>
      <c r="C86" s="81" t="str">
        <f>IF(VLOOKUP(B86,'Old vs New accounts'!$E$5:$G$97,1)=B86,VLOOKUP(B86,'Old vs New accounts'!$E$5:$G$97,3),0)</f>
        <v>50000</v>
      </c>
      <c r="D86" s="97">
        <v>5480836</v>
      </c>
      <c r="E86" s="97">
        <v>5408464</v>
      </c>
      <c r="F86" s="98">
        <v>5408464</v>
      </c>
      <c r="G86" s="97">
        <v>5208464</v>
      </c>
      <c r="H86" s="98">
        <v>5208464</v>
      </c>
      <c r="I86" s="98">
        <v>5208464</v>
      </c>
      <c r="J86" s="36">
        <v>5459853</v>
      </c>
      <c r="K86" s="36">
        <v>5459853</v>
      </c>
      <c r="L86" s="36">
        <v>5244241</v>
      </c>
      <c r="M86" s="36">
        <v>4250852</v>
      </c>
      <c r="N86" s="36">
        <v>2914001</v>
      </c>
      <c r="O86" s="36">
        <v>2962420</v>
      </c>
      <c r="P86" s="36">
        <v>989833</v>
      </c>
      <c r="Q86" s="36">
        <v>4293491</v>
      </c>
      <c r="R86" s="36">
        <v>4476204</v>
      </c>
      <c r="S86" s="36">
        <v>9491657</v>
      </c>
      <c r="T86" s="36">
        <v>0</v>
      </c>
      <c r="U86" s="36">
        <v>0</v>
      </c>
      <c r="V86" s="36">
        <v>0</v>
      </c>
      <c r="W86" s="36">
        <v>0</v>
      </c>
      <c r="X86" s="36">
        <v>0</v>
      </c>
      <c r="Y86" s="36">
        <v>0</v>
      </c>
      <c r="Z86" s="36">
        <v>0</v>
      </c>
      <c r="AB86" s="36">
        <v>5208464</v>
      </c>
      <c r="AC86" s="36">
        <v>5208464</v>
      </c>
      <c r="AD86" s="36">
        <v>5208464</v>
      </c>
    </row>
    <row r="87" spans="1:30">
      <c r="A87" s="81" t="s">
        <v>196</v>
      </c>
      <c r="B87" s="99" t="s">
        <v>194</v>
      </c>
      <c r="C87" s="81" t="str">
        <f>IF(VLOOKUP(B87,'Old vs New accounts'!$E$5:$G$97,1)=B87,VLOOKUP(B87,'Old vs New accounts'!$E$5:$G$97,3),0)</f>
        <v>50800</v>
      </c>
      <c r="F87" s="98"/>
      <c r="H87" s="98"/>
      <c r="I87" s="98"/>
      <c r="J87" s="36"/>
      <c r="K87" s="36">
        <v>0</v>
      </c>
      <c r="L87" s="36">
        <v>0</v>
      </c>
      <c r="M87" s="36">
        <v>284190</v>
      </c>
      <c r="N87" s="36">
        <v>0</v>
      </c>
      <c r="O87" s="36">
        <v>0</v>
      </c>
      <c r="P87" s="36">
        <v>0</v>
      </c>
      <c r="Q87" s="36">
        <v>0</v>
      </c>
      <c r="R87" s="36">
        <v>0</v>
      </c>
      <c r="S87" s="36">
        <v>0</v>
      </c>
      <c r="T87" s="36">
        <v>0</v>
      </c>
      <c r="U87" s="36">
        <v>0</v>
      </c>
      <c r="V87" s="36">
        <v>0</v>
      </c>
      <c r="W87" s="36">
        <v>0</v>
      </c>
      <c r="X87" s="36">
        <v>0</v>
      </c>
      <c r="Y87" s="36">
        <v>0</v>
      </c>
      <c r="Z87" s="36">
        <v>0</v>
      </c>
      <c r="AB87" s="36">
        <v>0</v>
      </c>
      <c r="AC87" s="36"/>
      <c r="AD87" s="36"/>
    </row>
    <row r="88" spans="1:30">
      <c r="A88" s="81" t="s">
        <v>63</v>
      </c>
      <c r="B88" s="99" t="s">
        <v>231</v>
      </c>
      <c r="C88" s="81" t="str">
        <f>IF(VLOOKUP(B88,'Old vs New accounts'!$E$5:$G$97,1)=B88,VLOOKUP(B88,'Old vs New accounts'!$E$5:$G$97,3),0)</f>
        <v>60000</v>
      </c>
      <c r="D88" s="97">
        <v>24162115</v>
      </c>
      <c r="E88" s="97">
        <v>23278826</v>
      </c>
      <c r="F88" s="98">
        <v>23275181</v>
      </c>
      <c r="G88" s="97">
        <v>40267550</v>
      </c>
      <c r="H88" s="98">
        <v>23240005</v>
      </c>
      <c r="I88" s="98">
        <v>23240005</v>
      </c>
      <c r="J88" s="36">
        <v>58693414</v>
      </c>
      <c r="K88" s="36">
        <v>21030127</v>
      </c>
      <c r="L88" s="36">
        <v>22094372</v>
      </c>
      <c r="M88" s="36">
        <v>27054366</v>
      </c>
      <c r="N88" s="36">
        <v>22887317</v>
      </c>
      <c r="O88" s="36">
        <v>15616251</v>
      </c>
      <c r="P88" s="36">
        <v>19572497</v>
      </c>
      <c r="Q88" s="36">
        <v>16639903</v>
      </c>
      <c r="R88" s="36">
        <v>20233541</v>
      </c>
      <c r="S88" s="36">
        <v>18243417</v>
      </c>
      <c r="T88" s="36">
        <v>0</v>
      </c>
      <c r="U88" s="36">
        <v>0</v>
      </c>
      <c r="V88" s="36">
        <v>0</v>
      </c>
      <c r="W88" s="36">
        <v>0</v>
      </c>
      <c r="X88" s="36">
        <v>0</v>
      </c>
      <c r="Y88" s="36">
        <v>0</v>
      </c>
      <c r="Z88" s="36">
        <v>0</v>
      </c>
      <c r="AB88" s="36">
        <v>23240005</v>
      </c>
      <c r="AC88" s="36">
        <v>23240005</v>
      </c>
      <c r="AD88" s="36">
        <v>23226489</v>
      </c>
    </row>
    <row r="89" spans="1:30">
      <c r="A89" s="81" t="s">
        <v>64</v>
      </c>
      <c r="B89" s="99" t="s">
        <v>237</v>
      </c>
      <c r="C89" s="81" t="str">
        <f>IF(VLOOKUP(B89,'Old vs New accounts'!$E$5:$G$97,1)=B89,VLOOKUP(B89,'Old vs New accounts'!$E$5:$G$97,3),0)</f>
        <v>60010</v>
      </c>
      <c r="F89" s="98"/>
      <c r="H89" s="98"/>
      <c r="I89" s="98"/>
      <c r="J89" s="36"/>
      <c r="K89" s="36">
        <v>0</v>
      </c>
      <c r="L89" s="36">
        <v>0</v>
      </c>
      <c r="M89" s="36">
        <v>0</v>
      </c>
      <c r="N89" s="36">
        <v>0</v>
      </c>
      <c r="O89" s="36">
        <v>2398233</v>
      </c>
      <c r="P89" s="36">
        <v>4000000</v>
      </c>
      <c r="Q89" s="36">
        <v>0</v>
      </c>
      <c r="R89" s="36">
        <v>0</v>
      </c>
      <c r="S89" s="36">
        <v>0</v>
      </c>
      <c r="T89" s="36">
        <v>0</v>
      </c>
      <c r="U89" s="36">
        <v>2000000</v>
      </c>
      <c r="V89" s="36">
        <v>0</v>
      </c>
      <c r="W89" s="36">
        <v>0</v>
      </c>
      <c r="X89" s="36">
        <v>0</v>
      </c>
      <c r="Y89" s="36">
        <v>5200000</v>
      </c>
      <c r="Z89" s="36">
        <v>2000000</v>
      </c>
      <c r="AB89" s="36">
        <v>0</v>
      </c>
      <c r="AC89" s="36"/>
      <c r="AD89" s="36"/>
    </row>
    <row r="90" spans="1:30">
      <c r="A90" s="81" t="s">
        <v>65</v>
      </c>
      <c r="B90" s="99" t="s">
        <v>243</v>
      </c>
      <c r="C90" s="81" t="str">
        <f>IF(VLOOKUP(B90,'Old vs New accounts'!$E$5:$G$97,1)=B90,VLOOKUP(B90,'Old vs New accounts'!$E$5:$G$97,3),0)</f>
        <v>60020</v>
      </c>
      <c r="D90" s="97">
        <v>3941831</v>
      </c>
      <c r="E90" s="97">
        <v>2278233</v>
      </c>
      <c r="F90" s="98">
        <v>2278233</v>
      </c>
      <c r="G90" s="97">
        <v>2398233</v>
      </c>
      <c r="H90" s="98">
        <v>2398233</v>
      </c>
      <c r="I90" s="98">
        <v>2398233</v>
      </c>
      <c r="J90" s="36">
        <v>2407383</v>
      </c>
      <c r="K90" s="36">
        <v>2407383</v>
      </c>
      <c r="L90" s="36">
        <v>2398233</v>
      </c>
      <c r="M90" s="36">
        <v>2398233</v>
      </c>
      <c r="N90" s="36">
        <v>2398233</v>
      </c>
      <c r="O90" s="36">
        <v>9900000</v>
      </c>
      <c r="P90" s="36">
        <v>2900000</v>
      </c>
      <c r="Q90" s="36">
        <v>2900000</v>
      </c>
      <c r="R90" s="36">
        <v>2900000</v>
      </c>
      <c r="S90" s="36">
        <v>3150000</v>
      </c>
      <c r="T90" s="36">
        <v>3437000</v>
      </c>
      <c r="U90" s="36">
        <v>2900000</v>
      </c>
      <c r="V90" s="36">
        <v>1900000</v>
      </c>
      <c r="W90" s="36">
        <v>2755000</v>
      </c>
      <c r="X90" s="36">
        <v>2900000</v>
      </c>
      <c r="Y90" s="36">
        <v>0</v>
      </c>
      <c r="Z90" s="36">
        <v>0</v>
      </c>
      <c r="AB90" s="36">
        <v>2398233</v>
      </c>
      <c r="AC90" s="36">
        <v>2398233</v>
      </c>
      <c r="AD90" s="36">
        <v>2398233</v>
      </c>
    </row>
    <row r="91" spans="1:30">
      <c r="A91" s="81" t="s">
        <v>66</v>
      </c>
      <c r="B91" s="99" t="s">
        <v>249</v>
      </c>
      <c r="C91" s="81" t="str">
        <f>IF(VLOOKUP(B91,'Old vs New accounts'!$E$5:$G$97,1)=B91,VLOOKUP(B91,'Old vs New accounts'!$E$5:$G$97,3),0)</f>
        <v>60030</v>
      </c>
      <c r="F91" s="98"/>
      <c r="H91" s="98"/>
      <c r="I91" s="98"/>
      <c r="J91" s="36"/>
      <c r="K91" s="36">
        <v>0</v>
      </c>
      <c r="L91" s="36">
        <v>0</v>
      </c>
      <c r="M91" s="36">
        <v>0</v>
      </c>
      <c r="N91" s="36">
        <v>0</v>
      </c>
      <c r="O91" s="36">
        <v>0</v>
      </c>
      <c r="P91" s="36">
        <v>0</v>
      </c>
      <c r="Q91" s="36">
        <v>1814103</v>
      </c>
      <c r="R91" s="36">
        <v>1816291</v>
      </c>
      <c r="S91" s="36">
        <v>5016291</v>
      </c>
      <c r="T91" s="36">
        <v>463840</v>
      </c>
      <c r="U91" s="36">
        <v>0</v>
      </c>
      <c r="V91" s="36">
        <v>0</v>
      </c>
      <c r="W91" s="36">
        <v>0</v>
      </c>
      <c r="X91" s="36">
        <v>0</v>
      </c>
      <c r="Y91" s="36">
        <v>0</v>
      </c>
      <c r="Z91" s="15">
        <v>973615</v>
      </c>
      <c r="AB91" s="36">
        <v>0</v>
      </c>
      <c r="AC91" s="36"/>
      <c r="AD91" s="36"/>
    </row>
    <row r="92" spans="1:30">
      <c r="A92" s="81" t="s">
        <v>67</v>
      </c>
      <c r="B92" s="99" t="s">
        <v>255</v>
      </c>
      <c r="C92" s="81" t="str">
        <f>IF(VLOOKUP(B92,'Old vs New accounts'!$E$5:$G$97,1)=B92,VLOOKUP(B92,'Old vs New accounts'!$E$5:$G$97,3),0)</f>
        <v>60040</v>
      </c>
      <c r="D92" s="97">
        <v>0</v>
      </c>
      <c r="E92" s="97">
        <v>0</v>
      </c>
      <c r="F92" s="98">
        <v>0</v>
      </c>
      <c r="G92" s="97">
        <v>1000000</v>
      </c>
      <c r="H92" s="98">
        <v>1000000</v>
      </c>
      <c r="I92" s="98">
        <v>0</v>
      </c>
      <c r="J92" s="36">
        <v>1600000</v>
      </c>
      <c r="K92" s="36">
        <v>1600000</v>
      </c>
      <c r="L92" s="36">
        <v>4000000</v>
      </c>
      <c r="M92" s="36">
        <v>0</v>
      </c>
      <c r="N92" s="36">
        <v>0</v>
      </c>
      <c r="O92" s="36">
        <v>0</v>
      </c>
      <c r="P92" s="36">
        <v>0</v>
      </c>
      <c r="Q92" s="36">
        <v>8200000</v>
      </c>
      <c r="R92" s="36">
        <v>8200000</v>
      </c>
      <c r="S92" s="36">
        <v>0</v>
      </c>
      <c r="T92" s="36">
        <v>0</v>
      </c>
      <c r="U92" s="36">
        <v>0</v>
      </c>
      <c r="V92" s="36">
        <v>0</v>
      </c>
      <c r="W92" s="36">
        <v>0</v>
      </c>
      <c r="X92" s="36">
        <v>0</v>
      </c>
      <c r="Y92" s="36">
        <v>0</v>
      </c>
      <c r="Z92" s="36">
        <v>0</v>
      </c>
      <c r="AB92" s="36">
        <v>0</v>
      </c>
      <c r="AC92" s="36">
        <v>0</v>
      </c>
      <c r="AD92" s="36">
        <v>0</v>
      </c>
    </row>
    <row r="93" spans="1:30">
      <c r="A93" s="81" t="s">
        <v>344</v>
      </c>
      <c r="B93" s="79" t="s">
        <v>275</v>
      </c>
      <c r="C93" s="81" t="str">
        <f>IF(VLOOKUP(B93,'Old vs New accounts'!$E$5:$G$97,1)=B93,VLOOKUP(B93,'Old vs New accounts'!$E$5:$G$97,3),0)</f>
        <v>73030</v>
      </c>
      <c r="D93" s="97">
        <v>16000000</v>
      </c>
      <c r="E93" s="97">
        <v>26000000</v>
      </c>
      <c r="F93" s="98">
        <v>26000000</v>
      </c>
      <c r="G93" s="97">
        <v>28000000</v>
      </c>
      <c r="H93" s="98">
        <v>28000000</v>
      </c>
      <c r="I93" s="98">
        <v>28000000</v>
      </c>
      <c r="J93" s="36">
        <v>28000000</v>
      </c>
      <c r="K93" s="36">
        <v>28000000</v>
      </c>
      <c r="L93" s="36">
        <v>28000000</v>
      </c>
      <c r="M93" s="36">
        <v>27737000</v>
      </c>
      <c r="N93" s="36">
        <v>13900000</v>
      </c>
      <c r="O93" s="36">
        <v>0</v>
      </c>
      <c r="P93" s="36">
        <v>0</v>
      </c>
      <c r="Q93" s="36">
        <v>0</v>
      </c>
      <c r="R93" s="36">
        <v>0</v>
      </c>
      <c r="S93" s="36">
        <v>0</v>
      </c>
      <c r="T93" s="36">
        <v>0</v>
      </c>
      <c r="U93" s="36">
        <v>0</v>
      </c>
      <c r="V93" s="36">
        <v>0</v>
      </c>
      <c r="W93" s="36">
        <v>0</v>
      </c>
      <c r="X93" s="36">
        <v>0</v>
      </c>
      <c r="Y93" s="36">
        <v>0</v>
      </c>
      <c r="Z93" s="36">
        <v>0</v>
      </c>
      <c r="AB93" s="36">
        <v>28000000</v>
      </c>
      <c r="AC93" s="36">
        <v>28000000</v>
      </c>
      <c r="AD93" s="36">
        <v>28000000</v>
      </c>
    </row>
    <row r="94" spans="1:30">
      <c r="A94" s="81" t="s">
        <v>61</v>
      </c>
      <c r="B94" s="99" t="s">
        <v>219</v>
      </c>
      <c r="C94" s="81" t="str">
        <f>IF(VLOOKUP(B94,'Old vs New accounts'!$E$5:$G$97,1)=B94,VLOOKUP(B94,'Old vs New accounts'!$E$5:$G$97,3),0)</f>
        <v>80300</v>
      </c>
      <c r="D94" s="97"/>
      <c r="E94" s="97"/>
      <c r="F94" s="98"/>
      <c r="G94" s="97"/>
      <c r="H94" s="98"/>
      <c r="I94" s="98"/>
      <c r="J94" s="36"/>
      <c r="K94" s="36">
        <v>0</v>
      </c>
      <c r="L94" s="36">
        <v>0</v>
      </c>
      <c r="M94" s="36">
        <v>0</v>
      </c>
      <c r="N94" s="36">
        <v>0</v>
      </c>
      <c r="O94" s="36">
        <v>0</v>
      </c>
      <c r="P94" s="36">
        <v>0</v>
      </c>
      <c r="Q94" s="36">
        <v>0</v>
      </c>
      <c r="R94" s="36">
        <v>0</v>
      </c>
      <c r="S94" s="36">
        <v>0</v>
      </c>
      <c r="T94" s="36">
        <v>465000</v>
      </c>
      <c r="U94" s="36">
        <v>0</v>
      </c>
      <c r="V94" s="36">
        <v>0</v>
      </c>
      <c r="W94" s="36">
        <v>0</v>
      </c>
      <c r="X94" s="36">
        <v>0</v>
      </c>
      <c r="Y94" s="36">
        <v>0</v>
      </c>
      <c r="Z94" s="36">
        <v>0</v>
      </c>
      <c r="AB94" s="36">
        <v>0</v>
      </c>
      <c r="AC94" s="36"/>
      <c r="AD94" s="36"/>
    </row>
    <row r="95" spans="1:30">
      <c r="A95" s="81" t="s">
        <v>158</v>
      </c>
      <c r="B95" s="99" t="s">
        <v>156</v>
      </c>
      <c r="C95" s="81" t="str">
        <f>IF(VLOOKUP(B95,'Old vs New accounts'!$E$5:$G$97,1)=B95,VLOOKUP(B95,'Old vs New accounts'!$E$5:$G$97,3),0)</f>
        <v>83000</v>
      </c>
      <c r="D95" s="97">
        <v>545171</v>
      </c>
      <c r="E95" s="97">
        <v>486678</v>
      </c>
      <c r="F95" s="98">
        <v>482222</v>
      </c>
      <c r="G95" s="97">
        <v>427165</v>
      </c>
      <c r="H95" s="98">
        <v>427165</v>
      </c>
      <c r="I95" s="98">
        <v>427165</v>
      </c>
      <c r="J95" s="36">
        <v>193864</v>
      </c>
      <c r="K95" s="36">
        <v>191174</v>
      </c>
      <c r="L95" s="36">
        <v>171958</v>
      </c>
      <c r="M95" s="36">
        <v>0</v>
      </c>
      <c r="N95" s="36">
        <v>0</v>
      </c>
      <c r="O95" s="36">
        <v>0</v>
      </c>
      <c r="P95" s="36">
        <v>27046</v>
      </c>
      <c r="Q95" s="36">
        <v>0</v>
      </c>
      <c r="R95" s="36">
        <v>0</v>
      </c>
      <c r="S95" s="36">
        <v>0</v>
      </c>
      <c r="T95" s="36">
        <v>0</v>
      </c>
      <c r="U95" s="36">
        <v>0</v>
      </c>
      <c r="V95" s="36">
        <v>0</v>
      </c>
      <c r="W95" s="36">
        <v>0</v>
      </c>
      <c r="X95" s="36">
        <v>0</v>
      </c>
      <c r="Y95" s="36">
        <v>0</v>
      </c>
      <c r="Z95" s="36">
        <v>0</v>
      </c>
      <c r="AB95" s="36">
        <v>427165</v>
      </c>
      <c r="AC95" s="36">
        <v>427165</v>
      </c>
      <c r="AD95" s="36">
        <v>410571</v>
      </c>
    </row>
    <row r="96" spans="1:30">
      <c r="A96" s="81" t="s">
        <v>35</v>
      </c>
      <c r="B96" s="99" t="s">
        <v>441</v>
      </c>
      <c r="C96" s="81" t="str">
        <f>IF(VLOOKUP(B96,'Old vs New accounts'!$E$5:$G$97,1)=B96,VLOOKUP(B96,'Old vs New accounts'!$E$5:$G$97,3),0)</f>
        <v>00103</v>
      </c>
      <c r="D96" s="81"/>
      <c r="E96" s="97"/>
      <c r="F96" s="98"/>
      <c r="G96" s="97"/>
      <c r="H96" s="98"/>
      <c r="I96" s="98"/>
      <c r="J96" s="36"/>
      <c r="K96" s="36">
        <v>0</v>
      </c>
      <c r="L96" s="36">
        <v>0</v>
      </c>
      <c r="M96" s="36">
        <v>0</v>
      </c>
      <c r="N96" s="36">
        <v>2961489</v>
      </c>
      <c r="O96" s="36">
        <v>4252824</v>
      </c>
      <c r="P96" s="36">
        <v>4083125</v>
      </c>
      <c r="Q96" s="36">
        <v>3783440</v>
      </c>
      <c r="R96" s="36">
        <v>3537163</v>
      </c>
      <c r="S96" s="36">
        <v>2692414</v>
      </c>
      <c r="T96" s="36">
        <v>2049425</v>
      </c>
      <c r="U96" s="36">
        <v>1835826</v>
      </c>
      <c r="V96" s="36">
        <v>1735999</v>
      </c>
      <c r="W96" s="36">
        <v>1636511</v>
      </c>
      <c r="X96" s="36">
        <v>1302644</v>
      </c>
      <c r="Y96" s="36">
        <v>1010061</v>
      </c>
      <c r="Z96" s="36">
        <v>831101</v>
      </c>
      <c r="AB96" s="36">
        <v>0</v>
      </c>
      <c r="AC96" s="36"/>
      <c r="AD96" s="36"/>
    </row>
    <row r="97" spans="1:30">
      <c r="A97" s="81" t="s">
        <v>49</v>
      </c>
      <c r="B97" s="99" t="s">
        <v>442</v>
      </c>
      <c r="C97" s="100" t="str">
        <f>IF(VLOOKUP(B97,'Old vs New accounts'!$E$5:$G$97,1)=B97,VLOOKUP(B97,'Old vs New accounts'!$E$5:$G$97,3),0)</f>
        <v>30040</v>
      </c>
      <c r="D97" s="100"/>
      <c r="E97" s="97"/>
      <c r="F97" s="98"/>
      <c r="G97" s="97"/>
      <c r="H97" s="98"/>
      <c r="I97" s="98"/>
      <c r="J97" s="36"/>
      <c r="K97" s="36">
        <v>0</v>
      </c>
      <c r="L97" s="36">
        <v>0</v>
      </c>
      <c r="M97" s="36">
        <v>0</v>
      </c>
      <c r="N97" s="36">
        <v>0</v>
      </c>
      <c r="O97" s="36">
        <v>0</v>
      </c>
      <c r="P97" s="36">
        <v>0</v>
      </c>
      <c r="Q97" s="36">
        <v>0</v>
      </c>
      <c r="R97" s="36">
        <v>0</v>
      </c>
      <c r="S97" s="36">
        <v>0</v>
      </c>
      <c r="T97" s="36">
        <v>0</v>
      </c>
      <c r="U97" s="36">
        <v>0</v>
      </c>
      <c r="V97" s="36">
        <v>0</v>
      </c>
      <c r="W97" s="36">
        <v>0</v>
      </c>
      <c r="X97" s="36">
        <v>0</v>
      </c>
      <c r="Y97" s="36">
        <v>2300000</v>
      </c>
      <c r="Z97" s="36">
        <v>0</v>
      </c>
      <c r="AB97" s="36">
        <v>0</v>
      </c>
      <c r="AC97" s="36"/>
      <c r="AD97" s="36"/>
    </row>
    <row r="98" spans="1:30">
      <c r="A98" s="81" t="s">
        <v>52</v>
      </c>
      <c r="B98" s="99" t="s">
        <v>443</v>
      </c>
      <c r="C98" s="100" t="str">
        <f>IF(VLOOKUP(B98,'Old vs New accounts'!$E$5:$G$97,1)=B98,VLOOKUP(B98,'Old vs New accounts'!$E$5:$G$97,3),0)</f>
        <v>00308</v>
      </c>
      <c r="D98" s="100"/>
      <c r="E98" s="97"/>
      <c r="F98" s="98"/>
      <c r="G98" s="97"/>
      <c r="H98" s="98"/>
      <c r="I98" s="98"/>
      <c r="J98" s="36"/>
      <c r="K98" s="36">
        <v>0</v>
      </c>
      <c r="L98" s="36">
        <v>0</v>
      </c>
      <c r="M98" s="36">
        <v>0</v>
      </c>
      <c r="N98" s="36">
        <v>0</v>
      </c>
      <c r="O98" s="36">
        <v>0</v>
      </c>
      <c r="P98" s="36">
        <v>0</v>
      </c>
      <c r="Q98" s="36">
        <v>0</v>
      </c>
      <c r="R98" s="36">
        <v>0</v>
      </c>
      <c r="S98" s="36">
        <v>330844</v>
      </c>
      <c r="T98" s="36">
        <v>1711500</v>
      </c>
      <c r="U98" s="36">
        <v>175000</v>
      </c>
      <c r="V98" s="36">
        <v>0</v>
      </c>
      <c r="W98" s="36">
        <v>850277</v>
      </c>
      <c r="X98" s="36">
        <v>903724</v>
      </c>
      <c r="Y98" s="36">
        <v>2963000</v>
      </c>
      <c r="Z98" s="17">
        <v>3699232</v>
      </c>
      <c r="AB98" s="36">
        <v>0</v>
      </c>
      <c r="AC98" s="36"/>
      <c r="AD98" s="36"/>
    </row>
    <row r="99" spans="1:30">
      <c r="A99" s="81" t="s">
        <v>54</v>
      </c>
      <c r="B99" s="99" t="s">
        <v>373</v>
      </c>
      <c r="C99" s="101">
        <f>IF(VLOOKUP(B99,'Old vs New accounts'!$E$5:$G$97,1)=B99,VLOOKUP(B99,'Old vs New accounts'!$E$5:$G$97,3),0)</f>
        <v>30010</v>
      </c>
      <c r="D99" s="101"/>
      <c r="E99" s="97"/>
      <c r="F99" s="98"/>
      <c r="G99" s="97"/>
      <c r="H99" s="98"/>
      <c r="I99" s="98"/>
      <c r="J99" s="36"/>
      <c r="K99" s="36">
        <v>0</v>
      </c>
      <c r="L99" s="36">
        <v>0</v>
      </c>
      <c r="M99" s="36">
        <v>0</v>
      </c>
      <c r="N99" s="36">
        <v>0</v>
      </c>
      <c r="O99" s="36">
        <v>0</v>
      </c>
      <c r="P99" s="36">
        <v>0</v>
      </c>
      <c r="Q99" s="36">
        <v>500000</v>
      </c>
      <c r="R99" s="36">
        <v>3400000</v>
      </c>
      <c r="S99" s="36">
        <v>0</v>
      </c>
      <c r="T99" s="36">
        <v>0</v>
      </c>
      <c r="U99" s="36">
        <v>0</v>
      </c>
      <c r="V99" s="36">
        <v>0</v>
      </c>
      <c r="W99" s="36">
        <v>0</v>
      </c>
      <c r="X99" s="36">
        <v>1130000</v>
      </c>
      <c r="Y99" s="36">
        <v>4087000</v>
      </c>
      <c r="Z99" s="36">
        <v>0</v>
      </c>
      <c r="AB99" s="36">
        <v>0</v>
      </c>
      <c r="AC99" s="36"/>
      <c r="AD99" s="36"/>
    </row>
    <row r="100" spans="1:30">
      <c r="A100" s="81" t="s">
        <v>56</v>
      </c>
      <c r="B100" s="99" t="s">
        <v>444</v>
      </c>
      <c r="C100" s="100" t="str">
        <f>IF(VLOOKUP(B100,'Old vs New accounts'!$E$5:$G$97,1)=B100,VLOOKUP(B100,'Old vs New accounts'!$E$5:$G$97,3),0)</f>
        <v>00313</v>
      </c>
      <c r="D100" s="100"/>
      <c r="E100" s="97"/>
      <c r="F100" s="98"/>
      <c r="G100" s="97"/>
      <c r="H100" s="98"/>
      <c r="I100" s="98"/>
      <c r="J100" s="36"/>
      <c r="K100" s="36">
        <v>0</v>
      </c>
      <c r="L100" s="36">
        <v>0</v>
      </c>
      <c r="M100" s="36">
        <v>0</v>
      </c>
      <c r="N100" s="36">
        <v>0</v>
      </c>
      <c r="O100" s="36">
        <v>0</v>
      </c>
      <c r="P100" s="36">
        <v>0</v>
      </c>
      <c r="Q100" s="36">
        <v>0</v>
      </c>
      <c r="R100" s="36">
        <v>0</v>
      </c>
      <c r="S100" s="36">
        <v>0</v>
      </c>
      <c r="T100" s="36">
        <v>0</v>
      </c>
      <c r="U100" s="36">
        <v>0</v>
      </c>
      <c r="V100" s="36">
        <v>0</v>
      </c>
      <c r="W100" s="36">
        <v>200000</v>
      </c>
      <c r="X100" s="36">
        <v>150000</v>
      </c>
      <c r="Y100" s="36">
        <v>50000</v>
      </c>
      <c r="Z100" s="17">
        <v>407000</v>
      </c>
      <c r="AB100" s="36">
        <v>0</v>
      </c>
      <c r="AC100" s="36"/>
      <c r="AD100" s="36"/>
    </row>
    <row r="101" spans="1:30">
      <c r="A101" s="81" t="s">
        <v>58</v>
      </c>
      <c r="B101" s="99" t="s">
        <v>445</v>
      </c>
      <c r="C101" s="100" t="str">
        <f>IF(VLOOKUP(B101,'Old vs New accounts'!$E$5:$G$97,1)=B101,VLOOKUP(B101,'Old vs New accounts'!$E$5:$G$97,3),0)</f>
        <v>40100</v>
      </c>
      <c r="D101" s="100"/>
      <c r="E101" s="97"/>
      <c r="F101" s="98"/>
      <c r="G101" s="97"/>
      <c r="H101" s="98"/>
      <c r="I101" s="98"/>
      <c r="J101" s="36"/>
      <c r="K101" s="36">
        <v>0</v>
      </c>
      <c r="L101" s="36">
        <v>0</v>
      </c>
      <c r="M101" s="36">
        <v>0</v>
      </c>
      <c r="N101" s="36">
        <v>0</v>
      </c>
      <c r="O101" s="36">
        <v>0</v>
      </c>
      <c r="P101" s="36">
        <v>0</v>
      </c>
      <c r="Q101" s="36">
        <v>0</v>
      </c>
      <c r="R101" s="36">
        <v>0</v>
      </c>
      <c r="S101" s="36">
        <v>17900000</v>
      </c>
      <c r="T101" s="36">
        <v>0</v>
      </c>
      <c r="U101" s="36">
        <v>0</v>
      </c>
      <c r="V101" s="36">
        <v>0</v>
      </c>
      <c r="W101" s="36">
        <v>0</v>
      </c>
      <c r="X101" s="36">
        <v>0</v>
      </c>
      <c r="Y101" s="36">
        <v>0</v>
      </c>
      <c r="Z101" s="36">
        <v>0</v>
      </c>
      <c r="AB101" s="36">
        <v>0</v>
      </c>
      <c r="AC101" s="36"/>
      <c r="AD101" s="36"/>
    </row>
    <row r="102" spans="1:30">
      <c r="A102" s="81" t="s">
        <v>62</v>
      </c>
      <c r="B102" s="99" t="s">
        <v>446</v>
      </c>
      <c r="C102" s="81" t="str">
        <f>IF(VLOOKUP(B102,'Old vs New accounts'!$E$5:$G$97,1)=B102,VLOOKUP(B102,'Old vs New accounts'!$E$5:$G$97,3),0)</f>
        <v>73030</v>
      </c>
      <c r="D102" s="81"/>
      <c r="E102" s="97"/>
      <c r="F102" s="98"/>
      <c r="G102" s="97"/>
      <c r="H102" s="98"/>
      <c r="I102" s="98"/>
      <c r="J102" s="36"/>
      <c r="K102" s="36">
        <v>0</v>
      </c>
      <c r="L102" s="36">
        <v>0</v>
      </c>
      <c r="M102" s="36">
        <v>0</v>
      </c>
      <c r="N102" s="36">
        <v>0</v>
      </c>
      <c r="O102" s="36">
        <v>0</v>
      </c>
      <c r="P102" s="36">
        <v>0</v>
      </c>
      <c r="Q102" s="36">
        <v>4610988</v>
      </c>
      <c r="R102" s="36">
        <v>4070579</v>
      </c>
      <c r="S102" s="36">
        <v>3818110</v>
      </c>
      <c r="T102" s="36">
        <v>3699721</v>
      </c>
      <c r="U102" s="36">
        <v>3088744</v>
      </c>
      <c r="V102" s="36">
        <v>2228491</v>
      </c>
      <c r="W102" s="36">
        <v>1917915</v>
      </c>
      <c r="X102" s="36">
        <v>1896000</v>
      </c>
      <c r="Y102" s="36">
        <v>1479425</v>
      </c>
      <c r="Z102" s="36">
        <v>759690</v>
      </c>
      <c r="AB102" s="36">
        <v>0</v>
      </c>
      <c r="AC102" s="36"/>
      <c r="AD102" s="36"/>
    </row>
    <row r="103" spans="1:30">
      <c r="A103" s="81" t="s">
        <v>46</v>
      </c>
      <c r="B103" s="99" t="s">
        <v>211</v>
      </c>
      <c r="C103" s="81" t="str">
        <f>IF(VLOOKUP(B103,'Old vs New accounts'!$E$5:$G$97,1)=B103,VLOOKUP(B103,'Old vs New accounts'!$E$5:$G$97,3),0)</f>
        <v>S50000</v>
      </c>
      <c r="D103" s="81"/>
      <c r="E103" s="97"/>
      <c r="F103" s="98"/>
      <c r="G103" s="97"/>
      <c r="H103" s="98"/>
      <c r="I103" s="98"/>
      <c r="J103" s="36"/>
      <c r="K103" s="36">
        <v>0</v>
      </c>
      <c r="L103" s="36">
        <v>0</v>
      </c>
      <c r="M103" s="36">
        <v>0</v>
      </c>
      <c r="N103" s="36">
        <v>0</v>
      </c>
      <c r="O103" s="36">
        <v>0</v>
      </c>
      <c r="P103" s="36">
        <v>0</v>
      </c>
      <c r="Q103" s="36">
        <v>0</v>
      </c>
      <c r="R103" s="36">
        <v>0</v>
      </c>
      <c r="S103" s="36">
        <v>1482598</v>
      </c>
      <c r="T103" s="36">
        <v>5000000</v>
      </c>
      <c r="U103" s="36">
        <v>0</v>
      </c>
      <c r="V103" s="36">
        <v>0</v>
      </c>
      <c r="W103" s="36">
        <v>0</v>
      </c>
      <c r="X103" s="36">
        <v>0</v>
      </c>
      <c r="Y103" s="36">
        <v>0</v>
      </c>
      <c r="Z103" s="36">
        <v>0</v>
      </c>
      <c r="AB103" s="36">
        <v>0</v>
      </c>
      <c r="AC103" s="36"/>
      <c r="AD103" s="36"/>
    </row>
    <row r="104" spans="1:30">
      <c r="A104" s="96" t="s">
        <v>330</v>
      </c>
      <c r="B104" s="102" t="s">
        <v>447</v>
      </c>
      <c r="C104" s="96"/>
      <c r="D104" s="103">
        <f t="shared" ref="D104" si="15">SUBTOTAL(9,D59:D103)</f>
        <v>2510373876</v>
      </c>
      <c r="E104" s="103">
        <f t="shared" ref="E104" si="16">SUBTOTAL(9,E59:E103)</f>
        <v>2409571897</v>
      </c>
      <c r="F104" s="103">
        <f t="shared" ref="F104:K104" si="17">SUBTOTAL(9,F59:F103)</f>
        <v>2408735569</v>
      </c>
      <c r="G104" s="103">
        <f t="shared" ref="G104" si="18">SUBTOTAL(9,G59:G103)</f>
        <v>2401496392</v>
      </c>
      <c r="H104" s="103">
        <f t="shared" si="17"/>
        <v>2377343385</v>
      </c>
      <c r="I104" s="103">
        <f t="shared" si="17"/>
        <v>2350978642</v>
      </c>
      <c r="J104" s="38">
        <f t="shared" si="17"/>
        <v>2343987181</v>
      </c>
      <c r="K104" s="38">
        <f t="shared" si="17"/>
        <v>2303003012</v>
      </c>
      <c r="L104" s="38">
        <f>SUBTOTAL(9,L59:L103)</f>
        <v>2262174537</v>
      </c>
      <c r="M104" s="38">
        <f>SUBTOTAL(9,M59:M103)</f>
        <v>2171102695</v>
      </c>
      <c r="N104" s="38">
        <f>SUBTOTAL(9,N59:N103)</f>
        <v>2144784783</v>
      </c>
      <c r="O104" s="38">
        <f>SUBTOTAL(9,O59:O103)</f>
        <v>2146404620</v>
      </c>
      <c r="P104" s="38">
        <f>SUBTOTAL(9,P59:P103)</f>
        <v>2143671235</v>
      </c>
      <c r="Q104" s="38">
        <f t="shared" ref="Q104" si="19">SUBTOTAL(9,Q59:Q103)</f>
        <v>2119974278</v>
      </c>
      <c r="R104" s="38">
        <f t="shared" ref="R104:Z104" si="20">SUBTOTAL(9,R59:R103)</f>
        <v>2078791487</v>
      </c>
      <c r="S104" s="38">
        <f t="shared" si="20"/>
        <v>2046764465</v>
      </c>
      <c r="T104" s="38">
        <f t="shared" si="20"/>
        <v>1804463108</v>
      </c>
      <c r="U104" s="38">
        <f t="shared" si="20"/>
        <v>1666394563</v>
      </c>
      <c r="V104" s="38">
        <f t="shared" si="20"/>
        <v>1535810746</v>
      </c>
      <c r="W104" s="38">
        <f t="shared" si="20"/>
        <v>1439576693</v>
      </c>
      <c r="X104" s="38">
        <f t="shared" si="20"/>
        <v>1343428700</v>
      </c>
      <c r="Y104" s="38">
        <f t="shared" si="20"/>
        <v>1238817898</v>
      </c>
      <c r="Z104" s="38">
        <f t="shared" si="20"/>
        <v>1155740088</v>
      </c>
      <c r="AB104" s="38">
        <f>SUBTOTAL(9,AB59:AB103)</f>
        <v>2350978642</v>
      </c>
      <c r="AC104" s="38">
        <f>SUBTOTAL(9,AC59:AC103)</f>
        <v>2350978642</v>
      </c>
      <c r="AD104" s="38">
        <f>SUBTOTAL(9,AD59:AD103)</f>
        <v>2343108157</v>
      </c>
    </row>
    <row r="105" spans="1:30">
      <c r="A105" s="96"/>
      <c r="B105" s="102" t="s">
        <v>447</v>
      </c>
      <c r="C105" s="96"/>
      <c r="D105" s="98"/>
      <c r="E105" s="98"/>
      <c r="F105" s="98"/>
      <c r="G105" s="98"/>
      <c r="H105" s="98"/>
      <c r="I105" s="98"/>
      <c r="J105" s="36"/>
      <c r="K105" s="40"/>
      <c r="L105" s="39"/>
      <c r="M105" s="39"/>
      <c r="N105" s="39"/>
      <c r="O105" s="39"/>
      <c r="P105" s="39"/>
      <c r="Q105" s="39"/>
      <c r="R105" s="39"/>
      <c r="S105" s="39"/>
      <c r="T105" s="39"/>
      <c r="U105" s="39"/>
      <c r="V105" s="39"/>
      <c r="W105" s="39"/>
      <c r="X105" s="39"/>
      <c r="Y105" s="36"/>
      <c r="Z105" s="36"/>
      <c r="AB105" s="27"/>
      <c r="AC105" s="27"/>
      <c r="AD105" s="27"/>
    </row>
    <row r="106" spans="1:30">
      <c r="A106" s="96" t="s">
        <v>68</v>
      </c>
      <c r="B106" s="77"/>
      <c r="C106" s="77"/>
      <c r="D106" s="77">
        <f t="shared" ref="D106" si="21">D104+D55</f>
        <v>3988246875</v>
      </c>
      <c r="E106" s="77">
        <f t="shared" ref="E106" si="22">E104+E55</f>
        <v>3819548220</v>
      </c>
      <c r="F106" s="77">
        <f t="shared" ref="F106:K106" si="23">F104+F55</f>
        <v>3813478453</v>
      </c>
      <c r="G106" s="77">
        <f t="shared" ref="G106" si="24">G104+G55</f>
        <v>3741487273</v>
      </c>
      <c r="H106" s="77">
        <f t="shared" si="23"/>
        <v>3780165625</v>
      </c>
      <c r="I106" s="77">
        <f t="shared" si="23"/>
        <v>3716363975</v>
      </c>
      <c r="J106" s="28">
        <f t="shared" si="23"/>
        <v>3636394771</v>
      </c>
      <c r="K106" s="28">
        <f t="shared" si="23"/>
        <v>3663471547</v>
      </c>
      <c r="L106" s="28">
        <f>L104+L55</f>
        <v>3531497270</v>
      </c>
      <c r="M106" s="28">
        <f>M104+M55</f>
        <v>3413378306</v>
      </c>
      <c r="N106" s="28">
        <f>N104+N55</f>
        <v>3333110449</v>
      </c>
      <c r="O106" s="28">
        <f>O104+O55</f>
        <v>3307840307</v>
      </c>
      <c r="P106" s="28">
        <f>P104+P55</f>
        <v>3352656206</v>
      </c>
      <c r="Q106" s="28">
        <f t="shared" ref="Q106" si="25">Q104+Q55</f>
        <v>3320946120</v>
      </c>
      <c r="R106" s="28">
        <f t="shared" ref="R106:Z106" si="26">R104+R55</f>
        <v>3223705072</v>
      </c>
      <c r="S106" s="28">
        <f t="shared" si="26"/>
        <v>3113897426</v>
      </c>
      <c r="T106" s="28">
        <f t="shared" si="26"/>
        <v>2809880067</v>
      </c>
      <c r="U106" s="28">
        <f t="shared" si="26"/>
        <v>2599861782</v>
      </c>
      <c r="V106" s="28">
        <f t="shared" si="26"/>
        <v>2448404412</v>
      </c>
      <c r="W106" s="28">
        <f t="shared" si="26"/>
        <v>2294527776</v>
      </c>
      <c r="X106" s="28">
        <f t="shared" si="26"/>
        <v>2152979627</v>
      </c>
      <c r="Y106" s="28">
        <f t="shared" si="26"/>
        <v>2000540810</v>
      </c>
      <c r="Z106" s="28">
        <f t="shared" si="26"/>
        <v>1849587184</v>
      </c>
      <c r="AB106" s="28">
        <f>AB104+AB55</f>
        <v>3716363975</v>
      </c>
      <c r="AC106" s="28">
        <f>AC104+AC55</f>
        <v>3716363975</v>
      </c>
      <c r="AD106" s="28">
        <f>AD104+AD55</f>
        <v>3704394576</v>
      </c>
    </row>
    <row r="107" spans="1:30">
      <c r="A107" s="17"/>
      <c r="B107" s="17"/>
      <c r="C107" s="17"/>
      <c r="D107" s="17"/>
      <c r="E107" s="17"/>
      <c r="G107" s="17"/>
      <c r="K107" s="27"/>
      <c r="L107" s="17"/>
      <c r="M107" s="17"/>
      <c r="N107" s="17"/>
      <c r="O107" s="17"/>
      <c r="P107" s="17"/>
      <c r="Q107" s="17"/>
      <c r="R107" s="17"/>
      <c r="S107" s="17"/>
      <c r="T107" s="17"/>
      <c r="U107" s="17"/>
      <c r="V107" s="17"/>
      <c r="W107" s="17"/>
      <c r="X107" s="17"/>
      <c r="Y107" s="17"/>
      <c r="Z107" s="17"/>
      <c r="AB107" s="27"/>
      <c r="AC107" s="27"/>
      <c r="AD107" s="27"/>
    </row>
    <row r="108" spans="1:30">
      <c r="A108" s="6" t="s">
        <v>374</v>
      </c>
      <c r="B108" s="6"/>
      <c r="C108" s="6"/>
      <c r="D108" s="28">
        <f t="shared" ref="D108" si="27">D47-D106</f>
        <v>114976620</v>
      </c>
      <c r="E108" s="28">
        <f t="shared" ref="E108" si="28">E47-E106</f>
        <v>76702689</v>
      </c>
      <c r="F108" s="28">
        <f t="shared" ref="F108:K108" si="29">F47-F106</f>
        <v>87031241</v>
      </c>
      <c r="G108" s="28">
        <f t="shared" ref="G108" si="30">G47-G106</f>
        <v>164916223</v>
      </c>
      <c r="H108" s="28">
        <f t="shared" si="29"/>
        <v>89412737</v>
      </c>
      <c r="I108" s="28">
        <f t="shared" si="29"/>
        <v>82025159</v>
      </c>
      <c r="J108" s="28">
        <f t="shared" si="29"/>
        <v>156391257</v>
      </c>
      <c r="K108" s="28">
        <f t="shared" si="29"/>
        <v>127534689</v>
      </c>
      <c r="L108" s="28">
        <f>L47-L106</f>
        <v>182807766</v>
      </c>
      <c r="M108" s="28">
        <f>M47-M106</f>
        <v>209439502</v>
      </c>
      <c r="N108" s="28">
        <f>N47-N106</f>
        <v>236235961</v>
      </c>
      <c r="O108" s="28">
        <f>O47-O106</f>
        <v>240276899</v>
      </c>
      <c r="P108" s="28">
        <f>P47-P106</f>
        <v>185385547</v>
      </c>
      <c r="Q108" s="28">
        <f t="shared" ref="Q108" si="31">Q47-Q106</f>
        <v>161392634</v>
      </c>
      <c r="R108" s="28">
        <f t="shared" ref="R108:Z108" si="32">R47-R106</f>
        <v>184198079</v>
      </c>
      <c r="S108" s="28">
        <f t="shared" si="32"/>
        <v>171494714</v>
      </c>
      <c r="T108" s="28">
        <f t="shared" si="32"/>
        <v>179198592</v>
      </c>
      <c r="U108" s="28">
        <f t="shared" si="32"/>
        <v>153740504</v>
      </c>
      <c r="V108" s="28">
        <f t="shared" si="32"/>
        <v>118894312</v>
      </c>
      <c r="W108" s="28">
        <f t="shared" si="32"/>
        <v>94569059</v>
      </c>
      <c r="X108" s="28">
        <f t="shared" si="32"/>
        <v>78562916</v>
      </c>
      <c r="Y108" s="28">
        <f t="shared" si="32"/>
        <v>88484891</v>
      </c>
      <c r="Z108" s="28">
        <f t="shared" si="32"/>
        <v>95145739</v>
      </c>
      <c r="AB108" s="30">
        <f>AB47-AB106</f>
        <v>82025159</v>
      </c>
      <c r="AC108" s="30">
        <f>+AC47-AC106</f>
        <v>82025159</v>
      </c>
      <c r="AD108" s="30">
        <f>AD47-AD106</f>
        <v>122426519</v>
      </c>
    </row>
    <row r="109" spans="1:30">
      <c r="A109" s="6"/>
      <c r="B109" s="6"/>
      <c r="C109" s="6"/>
      <c r="D109" s="27"/>
      <c r="E109" s="27"/>
      <c r="F109" s="27">
        <f>F48-F106</f>
        <v>3730049</v>
      </c>
      <c r="G109" s="27"/>
      <c r="K109" s="40"/>
      <c r="L109" s="29"/>
      <c r="M109" s="29"/>
      <c r="N109" s="29"/>
      <c r="O109" s="29"/>
      <c r="P109" s="29"/>
      <c r="Q109" s="29"/>
      <c r="R109" s="29"/>
      <c r="S109" s="29"/>
      <c r="T109" s="29"/>
      <c r="U109" s="29"/>
      <c r="V109" s="29"/>
      <c r="W109" s="29"/>
      <c r="X109" s="29"/>
      <c r="Y109" s="29"/>
      <c r="Z109" s="29"/>
      <c r="AB109" s="40"/>
      <c r="AC109" s="40"/>
      <c r="AD109" s="40"/>
    </row>
    <row r="110" spans="1:30">
      <c r="A110" s="6" t="s">
        <v>69</v>
      </c>
      <c r="B110" s="6"/>
      <c r="C110" s="6"/>
      <c r="D110" s="6"/>
      <c r="E110" s="6"/>
      <c r="G110" s="6"/>
      <c r="K110" s="27"/>
      <c r="L110" s="27"/>
      <c r="M110" s="27"/>
      <c r="P110" s="17"/>
      <c r="Q110" s="17"/>
      <c r="R110" s="17"/>
      <c r="S110" s="17"/>
      <c r="T110" s="17"/>
      <c r="Y110" s="17"/>
      <c r="Z110" s="17"/>
      <c r="AB110" s="27"/>
      <c r="AC110" s="27"/>
      <c r="AD110" s="27"/>
    </row>
    <row r="111" spans="1:30">
      <c r="A111" s="17" t="s">
        <v>331</v>
      </c>
      <c r="B111" s="17"/>
      <c r="C111" s="17"/>
      <c r="D111" s="27">
        <v>92450526</v>
      </c>
      <c r="E111" s="27">
        <v>76702689</v>
      </c>
      <c r="F111" s="27">
        <v>76269569</v>
      </c>
      <c r="G111" s="27">
        <v>75915037</v>
      </c>
      <c r="H111" s="27">
        <v>75603312</v>
      </c>
      <c r="I111" s="27">
        <v>74327279</v>
      </c>
      <c r="J111" s="27">
        <v>73979246</v>
      </c>
      <c r="K111" s="27">
        <v>73269431</v>
      </c>
      <c r="L111" s="27">
        <v>71884864</v>
      </c>
      <c r="M111" s="27">
        <v>69340654</v>
      </c>
      <c r="N111" s="27">
        <v>68041222</v>
      </c>
      <c r="O111" s="27">
        <v>68006885</v>
      </c>
      <c r="P111" s="27">
        <v>68447273</v>
      </c>
      <c r="Q111" s="27">
        <v>67667293</v>
      </c>
      <c r="R111" s="27">
        <v>65779947</v>
      </c>
      <c r="S111" s="27">
        <v>0</v>
      </c>
      <c r="T111" s="27">
        <v>0</v>
      </c>
      <c r="U111" s="27">
        <v>0</v>
      </c>
      <c r="V111" s="27">
        <v>0</v>
      </c>
      <c r="W111" s="27">
        <v>0</v>
      </c>
      <c r="X111" s="27">
        <v>0</v>
      </c>
      <c r="Y111" s="27">
        <v>40471960</v>
      </c>
      <c r="Z111" s="27">
        <v>37604634</v>
      </c>
      <c r="AB111" s="27">
        <v>74327279</v>
      </c>
      <c r="AC111" s="27">
        <v>74327279</v>
      </c>
      <c r="AD111" s="27">
        <v>74087892</v>
      </c>
    </row>
    <row r="112" spans="1:30">
      <c r="A112" s="17" t="s">
        <v>347</v>
      </c>
      <c r="B112" s="17"/>
      <c r="C112" s="17"/>
      <c r="D112" s="27"/>
      <c r="E112" s="27"/>
      <c r="F112" s="27"/>
      <c r="G112" s="27"/>
      <c r="H112" s="27"/>
      <c r="I112" s="27"/>
      <c r="J112" s="27"/>
      <c r="K112" s="36">
        <v>0</v>
      </c>
      <c r="L112" s="36">
        <v>0</v>
      </c>
      <c r="M112" s="36">
        <v>0</v>
      </c>
      <c r="N112" s="36">
        <v>0</v>
      </c>
      <c r="O112" s="36">
        <v>0</v>
      </c>
      <c r="P112" s="36">
        <v>0</v>
      </c>
      <c r="Q112" s="36">
        <v>0</v>
      </c>
      <c r="R112" s="36">
        <v>0</v>
      </c>
      <c r="S112" s="36">
        <v>0</v>
      </c>
      <c r="T112" s="36">
        <v>0</v>
      </c>
      <c r="U112" s="36">
        <v>0</v>
      </c>
      <c r="V112" s="36">
        <v>0</v>
      </c>
      <c r="W112" s="36">
        <v>0</v>
      </c>
      <c r="X112" s="36">
        <v>0</v>
      </c>
      <c r="Y112" s="36">
        <v>0</v>
      </c>
      <c r="Z112" s="36">
        <v>0</v>
      </c>
      <c r="AB112" s="36">
        <v>0</v>
      </c>
      <c r="AC112" s="27"/>
      <c r="AD112" s="27"/>
    </row>
    <row r="113" spans="1:30">
      <c r="A113" s="17" t="s">
        <v>341</v>
      </c>
      <c r="B113" s="17"/>
      <c r="C113" s="17"/>
      <c r="D113" s="17"/>
      <c r="E113" s="17"/>
      <c r="F113" s="27">
        <v>0</v>
      </c>
      <c r="G113" s="17"/>
      <c r="H113" s="27">
        <v>3281711</v>
      </c>
      <c r="I113" s="27">
        <v>0</v>
      </c>
      <c r="J113" s="27">
        <v>0</v>
      </c>
      <c r="K113" s="27">
        <v>0</v>
      </c>
      <c r="L113" s="27">
        <v>1513332</v>
      </c>
      <c r="M113" s="27">
        <v>623117</v>
      </c>
      <c r="N113" s="27">
        <v>2539239</v>
      </c>
      <c r="O113" s="27">
        <v>728086</v>
      </c>
      <c r="P113" s="27">
        <v>0</v>
      </c>
      <c r="Q113" s="27">
        <v>0</v>
      </c>
      <c r="R113" s="27">
        <v>0</v>
      </c>
      <c r="S113" s="27">
        <v>0</v>
      </c>
      <c r="T113" s="27">
        <v>0</v>
      </c>
      <c r="U113" s="27">
        <v>0</v>
      </c>
      <c r="V113" s="27">
        <v>0</v>
      </c>
      <c r="W113" s="27">
        <v>0</v>
      </c>
      <c r="X113" s="27">
        <v>0</v>
      </c>
      <c r="Y113" s="27">
        <v>0</v>
      </c>
      <c r="Z113" s="27">
        <v>0</v>
      </c>
      <c r="AB113" s="27">
        <v>0</v>
      </c>
      <c r="AC113" s="27"/>
      <c r="AD113" s="27"/>
    </row>
    <row r="114" spans="1:30">
      <c r="A114" s="17" t="s">
        <v>332</v>
      </c>
      <c r="B114" s="17"/>
      <c r="C114" s="17"/>
      <c r="D114" s="17"/>
      <c r="E114" s="17"/>
      <c r="F114" s="27"/>
      <c r="G114" s="17"/>
      <c r="H114" s="27"/>
      <c r="I114" s="27"/>
      <c r="J114" s="27"/>
      <c r="K114" s="27">
        <v>0</v>
      </c>
      <c r="L114" s="27">
        <v>0</v>
      </c>
      <c r="M114" s="27">
        <v>28693163</v>
      </c>
      <c r="N114" s="27">
        <v>23953143</v>
      </c>
      <c r="O114" s="27">
        <v>12429680</v>
      </c>
      <c r="P114" s="27">
        <v>3000000</v>
      </c>
      <c r="Q114" s="27">
        <v>22462218</v>
      </c>
      <c r="R114" s="27">
        <v>28342193</v>
      </c>
      <c r="S114" s="27">
        <v>0</v>
      </c>
      <c r="T114" s="27">
        <v>0</v>
      </c>
      <c r="U114" s="27">
        <v>0</v>
      </c>
      <c r="V114" s="27">
        <v>0</v>
      </c>
      <c r="W114" s="27">
        <v>0</v>
      </c>
      <c r="X114" s="27">
        <v>0</v>
      </c>
      <c r="Y114" s="27">
        <v>0</v>
      </c>
      <c r="Z114" s="27">
        <v>0</v>
      </c>
      <c r="AB114" s="27">
        <v>0</v>
      </c>
      <c r="AC114" s="27"/>
      <c r="AD114" s="27"/>
    </row>
    <row r="115" spans="1:30">
      <c r="A115" s="17" t="s">
        <v>345</v>
      </c>
      <c r="B115" s="17"/>
      <c r="C115" s="17"/>
      <c r="D115" s="17"/>
      <c r="E115" s="17"/>
      <c r="F115" s="27">
        <v>0</v>
      </c>
      <c r="G115" s="17"/>
      <c r="H115" s="27">
        <v>0</v>
      </c>
      <c r="I115" s="27">
        <v>0</v>
      </c>
      <c r="J115" s="27">
        <v>0</v>
      </c>
      <c r="K115" s="27">
        <v>0</v>
      </c>
      <c r="L115" s="27">
        <v>0</v>
      </c>
      <c r="M115" s="27">
        <v>29505454</v>
      </c>
      <c r="N115" s="27">
        <v>7339516</v>
      </c>
      <c r="O115" s="27">
        <v>0</v>
      </c>
      <c r="P115" s="27">
        <v>0</v>
      </c>
      <c r="Q115" s="27">
        <v>0</v>
      </c>
      <c r="R115" s="27">
        <v>0</v>
      </c>
      <c r="S115" s="27">
        <v>0</v>
      </c>
      <c r="T115" s="27">
        <v>0</v>
      </c>
      <c r="U115" s="27">
        <v>0</v>
      </c>
      <c r="V115" s="27">
        <v>0</v>
      </c>
      <c r="W115" s="27">
        <v>0</v>
      </c>
      <c r="X115" s="27">
        <v>0</v>
      </c>
      <c r="Y115" s="27">
        <v>0</v>
      </c>
      <c r="Z115" s="27">
        <v>0</v>
      </c>
      <c r="AB115" s="27">
        <v>0</v>
      </c>
      <c r="AC115" s="27"/>
      <c r="AD115" s="27"/>
    </row>
    <row r="116" spans="1:30">
      <c r="A116" s="17" t="s">
        <v>342</v>
      </c>
      <c r="B116" s="17"/>
      <c r="C116" s="17"/>
      <c r="D116" s="17"/>
      <c r="E116" s="17"/>
      <c r="F116" s="27"/>
      <c r="G116" s="17"/>
      <c r="H116" s="27"/>
      <c r="I116" s="27"/>
      <c r="J116" s="27"/>
      <c r="K116" s="27">
        <v>0</v>
      </c>
      <c r="L116" s="27">
        <v>0</v>
      </c>
      <c r="M116" s="27">
        <v>2462157</v>
      </c>
      <c r="N116" s="27">
        <v>0</v>
      </c>
      <c r="O116" s="27">
        <v>542445</v>
      </c>
      <c r="P116" s="27">
        <v>0</v>
      </c>
      <c r="Q116" s="27">
        <v>0</v>
      </c>
      <c r="R116" s="27">
        <v>0</v>
      </c>
      <c r="S116" s="27">
        <v>0</v>
      </c>
      <c r="T116" s="27">
        <v>0</v>
      </c>
      <c r="U116" s="27">
        <v>0</v>
      </c>
      <c r="V116" s="27">
        <v>0</v>
      </c>
      <c r="W116" s="27">
        <v>0</v>
      </c>
      <c r="X116" s="27">
        <v>0</v>
      </c>
      <c r="Y116" s="27">
        <v>0</v>
      </c>
      <c r="Z116" s="27">
        <v>0</v>
      </c>
      <c r="AB116" s="27">
        <v>0</v>
      </c>
      <c r="AC116" s="27"/>
      <c r="AD116" s="27"/>
    </row>
    <row r="117" spans="1:30">
      <c r="A117" s="17" t="s">
        <v>348</v>
      </c>
      <c r="B117" s="17"/>
      <c r="C117" s="17"/>
      <c r="D117" s="17"/>
      <c r="E117" s="17"/>
      <c r="F117" s="27"/>
      <c r="G117" s="17"/>
      <c r="H117" s="27"/>
      <c r="I117" s="27"/>
      <c r="J117" s="27"/>
      <c r="K117" s="27">
        <v>15097928</v>
      </c>
      <c r="L117" s="27">
        <v>0</v>
      </c>
      <c r="M117" s="27">
        <v>0</v>
      </c>
      <c r="N117" s="27">
        <v>9580000</v>
      </c>
      <c r="O117" s="27">
        <v>35340186</v>
      </c>
      <c r="P117" s="27">
        <v>0</v>
      </c>
      <c r="Q117" s="27">
        <v>0</v>
      </c>
      <c r="R117" s="27">
        <v>0</v>
      </c>
      <c r="S117" s="27">
        <v>0</v>
      </c>
      <c r="T117" s="27">
        <v>0</v>
      </c>
      <c r="U117" s="27">
        <v>0</v>
      </c>
      <c r="V117" s="27">
        <v>0</v>
      </c>
      <c r="W117" s="27">
        <v>0</v>
      </c>
      <c r="X117" s="27">
        <v>0</v>
      </c>
      <c r="Y117" s="27">
        <v>0</v>
      </c>
      <c r="Z117" s="27">
        <v>0</v>
      </c>
      <c r="AB117" s="27">
        <v>0</v>
      </c>
      <c r="AC117" s="27"/>
      <c r="AD117" s="27"/>
    </row>
    <row r="118" spans="1:30">
      <c r="A118" s="17" t="s">
        <v>349</v>
      </c>
      <c r="B118" s="17"/>
      <c r="C118" s="17"/>
      <c r="D118" s="17"/>
      <c r="E118" s="17"/>
      <c r="F118" s="27"/>
      <c r="G118" s="17"/>
      <c r="H118" s="27"/>
      <c r="I118" s="27"/>
      <c r="J118" s="27"/>
      <c r="K118" s="27">
        <v>0</v>
      </c>
      <c r="L118" s="27">
        <v>0</v>
      </c>
      <c r="M118" s="27">
        <v>1500000</v>
      </c>
      <c r="N118" s="27">
        <v>0</v>
      </c>
      <c r="O118" s="27">
        <v>0</v>
      </c>
      <c r="P118" s="27">
        <v>0</v>
      </c>
      <c r="Q118" s="27">
        <v>0</v>
      </c>
      <c r="R118" s="27">
        <v>0</v>
      </c>
      <c r="S118" s="27">
        <v>0</v>
      </c>
      <c r="T118" s="27">
        <v>0</v>
      </c>
      <c r="U118" s="27">
        <v>0</v>
      </c>
      <c r="V118" s="27">
        <v>0</v>
      </c>
      <c r="W118" s="27">
        <v>0</v>
      </c>
      <c r="X118" s="27">
        <v>0</v>
      </c>
      <c r="Y118" s="27">
        <v>0</v>
      </c>
      <c r="Z118" s="27">
        <v>0</v>
      </c>
      <c r="AB118" s="27">
        <v>0</v>
      </c>
      <c r="AC118" s="27"/>
      <c r="AD118" s="27"/>
    </row>
    <row r="119" spans="1:30">
      <c r="A119" s="17" t="s">
        <v>350</v>
      </c>
      <c r="B119" s="17"/>
      <c r="C119" s="17"/>
      <c r="D119" s="17"/>
      <c r="E119" s="1"/>
      <c r="F119" s="27">
        <v>7697880</v>
      </c>
      <c r="G119" s="1"/>
      <c r="H119" s="27">
        <v>7697880</v>
      </c>
      <c r="I119" s="27">
        <v>7697880</v>
      </c>
      <c r="J119" s="27">
        <v>7697880</v>
      </c>
      <c r="K119" s="27">
        <v>7697880</v>
      </c>
      <c r="L119" s="27">
        <v>8099768</v>
      </c>
      <c r="M119" s="27">
        <v>0</v>
      </c>
      <c r="N119" s="27">
        <v>0</v>
      </c>
      <c r="O119" s="27">
        <v>0</v>
      </c>
      <c r="P119" s="27">
        <v>0</v>
      </c>
      <c r="Q119" s="27">
        <v>0</v>
      </c>
      <c r="R119" s="27">
        <v>0</v>
      </c>
      <c r="S119" s="27">
        <v>0</v>
      </c>
      <c r="T119" s="27">
        <v>0</v>
      </c>
      <c r="U119" s="27">
        <v>0</v>
      </c>
      <c r="V119" s="27">
        <v>0</v>
      </c>
      <c r="W119" s="27">
        <v>0</v>
      </c>
      <c r="X119" s="27">
        <v>0</v>
      </c>
      <c r="Y119" s="27">
        <v>0</v>
      </c>
      <c r="Z119" s="27">
        <v>0</v>
      </c>
      <c r="AB119" s="27">
        <v>7697880</v>
      </c>
      <c r="AC119" s="27">
        <v>7697880</v>
      </c>
      <c r="AD119" s="27">
        <v>7697880</v>
      </c>
    </row>
    <row r="120" spans="1:30">
      <c r="A120" s="17" t="s">
        <v>351</v>
      </c>
      <c r="B120" s="17"/>
      <c r="C120" s="17"/>
      <c r="D120" s="17"/>
      <c r="E120" s="17"/>
      <c r="F120" s="27"/>
      <c r="G120" s="17"/>
      <c r="H120" s="27"/>
      <c r="I120" s="27"/>
      <c r="J120" s="27"/>
      <c r="K120" s="27">
        <v>30000000</v>
      </c>
      <c r="L120" s="27">
        <v>5000000</v>
      </c>
      <c r="M120" s="27">
        <v>0</v>
      </c>
      <c r="N120" s="27">
        <v>0</v>
      </c>
      <c r="O120" s="27">
        <v>0</v>
      </c>
      <c r="P120" s="27">
        <v>0</v>
      </c>
      <c r="Q120" s="27">
        <v>0</v>
      </c>
      <c r="R120" s="27">
        <v>0</v>
      </c>
      <c r="S120" s="27">
        <v>0</v>
      </c>
      <c r="T120" s="27">
        <v>0</v>
      </c>
      <c r="U120" s="27">
        <v>0</v>
      </c>
      <c r="V120" s="27">
        <v>0</v>
      </c>
      <c r="W120" s="27">
        <v>0</v>
      </c>
      <c r="X120" s="27">
        <v>0</v>
      </c>
      <c r="Y120" s="27">
        <v>0</v>
      </c>
      <c r="Z120" s="27">
        <v>0</v>
      </c>
      <c r="AB120" s="27">
        <v>0</v>
      </c>
      <c r="AC120" s="27"/>
      <c r="AD120" s="27">
        <v>30000000</v>
      </c>
    </row>
    <row r="121" spans="1:30">
      <c r="A121" s="17" t="s">
        <v>352</v>
      </c>
      <c r="B121" s="17"/>
      <c r="C121" s="17"/>
      <c r="D121" s="17"/>
      <c r="E121" s="17"/>
      <c r="F121" s="27"/>
      <c r="G121" s="17"/>
      <c r="H121" s="27"/>
      <c r="I121" s="27"/>
      <c r="J121" s="27"/>
      <c r="K121" s="27">
        <v>0</v>
      </c>
      <c r="L121" s="27">
        <v>538344</v>
      </c>
      <c r="M121" s="27">
        <v>0</v>
      </c>
      <c r="N121" s="27">
        <v>0</v>
      </c>
      <c r="O121" s="27">
        <v>0</v>
      </c>
      <c r="P121" s="27">
        <v>0</v>
      </c>
      <c r="Q121" s="27">
        <v>0</v>
      </c>
      <c r="R121" s="27">
        <v>0</v>
      </c>
      <c r="S121" s="27">
        <v>0</v>
      </c>
      <c r="T121" s="27">
        <v>0</v>
      </c>
      <c r="U121" s="27">
        <v>0</v>
      </c>
      <c r="V121" s="27">
        <v>0</v>
      </c>
      <c r="W121" s="27">
        <v>0</v>
      </c>
      <c r="X121" s="27">
        <v>0</v>
      </c>
      <c r="Y121" s="27">
        <v>0</v>
      </c>
      <c r="Z121" s="27">
        <v>0</v>
      </c>
      <c r="AB121" s="27">
        <v>0</v>
      </c>
      <c r="AC121" s="27"/>
      <c r="AD121" s="27"/>
    </row>
    <row r="122" spans="1:30">
      <c r="A122" s="17" t="s">
        <v>353</v>
      </c>
      <c r="B122" s="17"/>
      <c r="C122" s="17"/>
      <c r="D122" s="17"/>
      <c r="E122" s="17"/>
      <c r="F122" s="27"/>
      <c r="G122" s="17"/>
      <c r="H122" s="27"/>
      <c r="I122" s="27"/>
      <c r="J122" s="27"/>
      <c r="K122" s="27">
        <v>0</v>
      </c>
      <c r="L122" s="27">
        <v>742333</v>
      </c>
      <c r="M122" s="27">
        <v>0</v>
      </c>
      <c r="N122" s="27">
        <v>0</v>
      </c>
      <c r="O122" s="27">
        <v>0</v>
      </c>
      <c r="P122" s="27">
        <v>0</v>
      </c>
      <c r="Q122" s="27">
        <v>0</v>
      </c>
      <c r="R122" s="27">
        <v>0</v>
      </c>
      <c r="S122" s="27">
        <v>0</v>
      </c>
      <c r="T122" s="27">
        <v>0</v>
      </c>
      <c r="U122" s="27">
        <v>0</v>
      </c>
      <c r="V122" s="27">
        <v>0</v>
      </c>
      <c r="W122" s="27">
        <v>0</v>
      </c>
      <c r="X122" s="27">
        <v>0</v>
      </c>
      <c r="Y122" s="27">
        <v>0</v>
      </c>
      <c r="Z122" s="27">
        <v>0</v>
      </c>
      <c r="AB122" s="27">
        <v>0</v>
      </c>
      <c r="AC122" s="27"/>
      <c r="AD122" s="27"/>
    </row>
    <row r="123" spans="1:30">
      <c r="A123" s="17" t="s">
        <v>354</v>
      </c>
      <c r="B123" s="17"/>
      <c r="C123" s="17"/>
      <c r="D123" s="17"/>
      <c r="E123" s="17"/>
      <c r="F123" s="27"/>
      <c r="G123" s="17"/>
      <c r="H123" s="27"/>
      <c r="I123" s="27"/>
      <c r="J123" s="27"/>
      <c r="K123" s="27">
        <v>1469450</v>
      </c>
      <c r="L123" s="27">
        <v>1469450</v>
      </c>
      <c r="M123" s="27">
        <v>0</v>
      </c>
      <c r="N123" s="27">
        <v>0</v>
      </c>
      <c r="O123" s="27">
        <v>0</v>
      </c>
      <c r="P123" s="27">
        <v>0</v>
      </c>
      <c r="Q123" s="27">
        <v>0</v>
      </c>
      <c r="R123" s="27">
        <v>0</v>
      </c>
      <c r="S123" s="27">
        <v>0</v>
      </c>
      <c r="T123" s="27">
        <v>0</v>
      </c>
      <c r="U123" s="27">
        <v>0</v>
      </c>
      <c r="V123" s="27">
        <v>0</v>
      </c>
      <c r="W123" s="27">
        <v>0</v>
      </c>
      <c r="X123" s="27">
        <v>0</v>
      </c>
      <c r="Y123" s="27">
        <v>0</v>
      </c>
      <c r="Z123" s="27">
        <v>0</v>
      </c>
      <c r="AB123" s="27">
        <v>0</v>
      </c>
      <c r="AC123" s="27"/>
      <c r="AD123" s="27">
        <v>0</v>
      </c>
    </row>
    <row r="124" spans="1:30">
      <c r="A124" t="s">
        <v>533</v>
      </c>
      <c r="B124" s="17"/>
      <c r="C124" s="17"/>
      <c r="D124" s="17"/>
      <c r="E124" s="17"/>
      <c r="F124" s="27">
        <v>0</v>
      </c>
      <c r="G124" s="17"/>
      <c r="H124" s="27">
        <v>2829834</v>
      </c>
      <c r="I124" s="27">
        <v>0</v>
      </c>
      <c r="J124" s="27">
        <v>0</v>
      </c>
      <c r="K124" s="27">
        <v>0</v>
      </c>
      <c r="L124" s="27">
        <v>0</v>
      </c>
      <c r="M124" s="27">
        <v>0</v>
      </c>
      <c r="N124" s="27">
        <v>0</v>
      </c>
      <c r="O124" s="27">
        <v>0</v>
      </c>
      <c r="P124" s="27">
        <v>0</v>
      </c>
      <c r="Q124" s="27">
        <v>0</v>
      </c>
      <c r="R124" s="27">
        <v>0</v>
      </c>
      <c r="S124" s="27">
        <v>0</v>
      </c>
      <c r="T124" s="27">
        <v>0</v>
      </c>
      <c r="U124" s="27">
        <v>0</v>
      </c>
      <c r="V124" s="27">
        <v>0</v>
      </c>
      <c r="W124" s="27">
        <v>0</v>
      </c>
      <c r="X124" s="27">
        <v>0</v>
      </c>
      <c r="Y124" s="27">
        <v>0</v>
      </c>
      <c r="Z124" s="27">
        <v>0</v>
      </c>
      <c r="AB124" s="27"/>
      <c r="AC124" s="27"/>
      <c r="AD124" s="27"/>
    </row>
    <row r="125" spans="1:30">
      <c r="A125" s="17" t="s">
        <v>346</v>
      </c>
      <c r="B125" s="17"/>
      <c r="C125" s="17"/>
      <c r="D125" s="17">
        <v>22526094</v>
      </c>
      <c r="E125" s="17"/>
      <c r="F125" s="27"/>
      <c r="G125" s="17"/>
      <c r="H125" s="27"/>
      <c r="I125" s="27"/>
      <c r="J125" s="27"/>
      <c r="K125" s="27">
        <v>0</v>
      </c>
      <c r="L125" s="27">
        <v>0</v>
      </c>
      <c r="M125" s="27">
        <v>0</v>
      </c>
      <c r="N125" s="27">
        <v>4722358</v>
      </c>
      <c r="O125" s="27">
        <v>0</v>
      </c>
      <c r="P125" s="27">
        <v>0</v>
      </c>
      <c r="Q125" s="27">
        <v>0</v>
      </c>
      <c r="R125" s="27">
        <v>0</v>
      </c>
      <c r="S125" s="27">
        <v>0</v>
      </c>
      <c r="T125" s="27">
        <v>0</v>
      </c>
      <c r="U125" s="27">
        <v>0</v>
      </c>
      <c r="V125" s="27">
        <v>0</v>
      </c>
      <c r="W125" s="27">
        <v>0</v>
      </c>
      <c r="X125" s="27">
        <v>0</v>
      </c>
      <c r="Y125" s="27">
        <v>0</v>
      </c>
      <c r="Z125" s="27">
        <v>14317996</v>
      </c>
      <c r="AB125" s="27">
        <v>0</v>
      </c>
      <c r="AC125" s="27"/>
      <c r="AD125" s="27">
        <v>10640747</v>
      </c>
    </row>
    <row r="126" spans="1:30">
      <c r="A126" s="17" t="s">
        <v>343</v>
      </c>
      <c r="B126" s="17"/>
      <c r="C126" s="17"/>
      <c r="D126" s="17"/>
      <c r="E126" s="17"/>
      <c r="F126" s="27"/>
      <c r="G126" s="17"/>
      <c r="H126" s="27"/>
      <c r="I126" s="27"/>
      <c r="J126" s="27"/>
      <c r="K126" s="27">
        <v>0</v>
      </c>
      <c r="L126" s="27">
        <v>0</v>
      </c>
      <c r="M126" s="27">
        <v>0</v>
      </c>
      <c r="N126" s="27">
        <v>15000000</v>
      </c>
      <c r="O126" s="27">
        <v>20000000</v>
      </c>
      <c r="P126" s="27">
        <v>0</v>
      </c>
      <c r="Q126" s="27">
        <v>0</v>
      </c>
      <c r="R126" s="27">
        <v>0</v>
      </c>
      <c r="S126" s="27">
        <v>0</v>
      </c>
      <c r="T126" s="27">
        <v>0</v>
      </c>
      <c r="U126" s="27">
        <v>0</v>
      </c>
      <c r="V126" s="27">
        <v>0</v>
      </c>
      <c r="W126" s="27">
        <v>0</v>
      </c>
      <c r="X126" s="27">
        <v>0</v>
      </c>
      <c r="Y126" s="27">
        <v>0</v>
      </c>
      <c r="Z126" s="27">
        <v>0</v>
      </c>
      <c r="AB126" s="27">
        <v>0</v>
      </c>
      <c r="AC126" s="27"/>
      <c r="AD126" s="27"/>
    </row>
    <row r="127" spans="1:30">
      <c r="A127" s="6" t="s">
        <v>541</v>
      </c>
      <c r="B127" s="17"/>
      <c r="C127" s="17"/>
      <c r="D127" s="30">
        <f>SUBTOTAL(9,D111:D126)</f>
        <v>114976620</v>
      </c>
      <c r="E127" s="30">
        <f>SUBTOTAL(9,E111:E126)</f>
        <v>76702689</v>
      </c>
      <c r="F127" s="30">
        <f>SUBTOTAL(9,F111:F126)</f>
        <v>83967449</v>
      </c>
      <c r="G127" s="30">
        <f>SUBTOTAL(9,G111:G126)</f>
        <v>75915037</v>
      </c>
      <c r="H127" s="30">
        <f t="shared" ref="H127:Z127" si="33">SUBTOTAL(9,H111:H126)</f>
        <v>89412737</v>
      </c>
      <c r="I127" s="30">
        <f t="shared" si="33"/>
        <v>82025159</v>
      </c>
      <c r="J127" s="30">
        <f t="shared" si="33"/>
        <v>81677126</v>
      </c>
      <c r="K127" s="30">
        <f t="shared" si="33"/>
        <v>127534689</v>
      </c>
      <c r="L127" s="30">
        <f t="shared" si="33"/>
        <v>89248091</v>
      </c>
      <c r="M127" s="30">
        <f t="shared" si="33"/>
        <v>132124545</v>
      </c>
      <c r="N127" s="30">
        <f t="shared" si="33"/>
        <v>131175478</v>
      </c>
      <c r="O127" s="30">
        <f t="shared" si="33"/>
        <v>137047282</v>
      </c>
      <c r="P127" s="30">
        <f t="shared" si="33"/>
        <v>71447273</v>
      </c>
      <c r="Q127" s="30">
        <f t="shared" si="33"/>
        <v>90129511</v>
      </c>
      <c r="R127" s="30">
        <f t="shared" si="33"/>
        <v>94122140</v>
      </c>
      <c r="S127" s="30">
        <f t="shared" si="33"/>
        <v>0</v>
      </c>
      <c r="T127" s="30">
        <f t="shared" si="33"/>
        <v>0</v>
      </c>
      <c r="U127" s="30">
        <f t="shared" si="33"/>
        <v>0</v>
      </c>
      <c r="V127" s="30">
        <f t="shared" si="33"/>
        <v>0</v>
      </c>
      <c r="W127" s="30">
        <f t="shared" si="33"/>
        <v>0</v>
      </c>
      <c r="X127" s="30">
        <f t="shared" si="33"/>
        <v>0</v>
      </c>
      <c r="Y127" s="30">
        <f t="shared" si="33"/>
        <v>40471960</v>
      </c>
      <c r="Z127" s="30">
        <f t="shared" si="33"/>
        <v>51922630</v>
      </c>
      <c r="AB127" s="30">
        <f t="shared" ref="AB127" si="34">SUBTOTAL(9,AB111:AB126)</f>
        <v>82025159</v>
      </c>
      <c r="AC127" s="30">
        <f t="shared" ref="AC127" si="35">SUBTOTAL(9,AC111:AC126)</f>
        <v>82025159</v>
      </c>
      <c r="AD127" s="30">
        <f t="shared" ref="AD127" si="36">SUBTOTAL(9,AD111:AD126)</f>
        <v>122426519</v>
      </c>
    </row>
    <row r="128" spans="1:30">
      <c r="A128" s="17"/>
      <c r="B128" s="17"/>
      <c r="C128" s="17"/>
      <c r="D128" s="17"/>
      <c r="E128" s="17"/>
      <c r="F128" s="27"/>
      <c r="G128" s="17"/>
      <c r="H128" s="27"/>
      <c r="I128" s="27"/>
      <c r="J128" s="27"/>
      <c r="K128" s="27"/>
      <c r="L128" s="27"/>
      <c r="M128" s="27"/>
      <c r="N128" s="27"/>
      <c r="O128" s="27"/>
      <c r="P128" s="27"/>
      <c r="Q128" s="27"/>
      <c r="R128" s="27"/>
      <c r="S128" s="27"/>
      <c r="T128" s="27"/>
      <c r="U128" s="27"/>
      <c r="V128" s="27"/>
      <c r="W128" s="27"/>
      <c r="X128" s="27"/>
      <c r="Y128" s="27"/>
      <c r="Z128" s="27"/>
      <c r="AB128" s="27"/>
      <c r="AC128" s="27"/>
      <c r="AD128" s="27"/>
    </row>
    <row r="129" spans="1:30">
      <c r="A129" s="28" t="s">
        <v>24</v>
      </c>
      <c r="B129" s="17"/>
      <c r="C129" s="17"/>
      <c r="D129" s="30">
        <f t="shared" ref="D129:I129" si="37">D108-SUM(D111:D126)</f>
        <v>0</v>
      </c>
      <c r="E129" s="30">
        <f t="shared" si="37"/>
        <v>0</v>
      </c>
      <c r="F129" s="30">
        <f t="shared" si="37"/>
        <v>3063792</v>
      </c>
      <c r="G129" s="30">
        <f t="shared" ref="G129" si="38">G108-SUM(G111:G126)</f>
        <v>89001186</v>
      </c>
      <c r="H129" s="30">
        <f t="shared" si="37"/>
        <v>0</v>
      </c>
      <c r="I129" s="30">
        <f t="shared" si="37"/>
        <v>0</v>
      </c>
      <c r="J129" s="30">
        <f t="shared" ref="J129:P129" si="39">J108-SUM(J111:J126)</f>
        <v>74714131</v>
      </c>
      <c r="K129" s="30">
        <f t="shared" si="39"/>
        <v>0</v>
      </c>
      <c r="L129" s="30">
        <f t="shared" si="39"/>
        <v>93559675</v>
      </c>
      <c r="M129" s="30">
        <f t="shared" si="39"/>
        <v>77314957</v>
      </c>
      <c r="N129" s="30">
        <f t="shared" si="39"/>
        <v>105060483</v>
      </c>
      <c r="O129" s="30">
        <f t="shared" si="39"/>
        <v>103229617</v>
      </c>
      <c r="P129" s="30">
        <f t="shared" si="39"/>
        <v>113938274</v>
      </c>
      <c r="Q129" s="30">
        <f t="shared" ref="Q129" si="40">Q108-SUM(Q111:Q126)</f>
        <v>71263123</v>
      </c>
      <c r="R129" s="30">
        <f t="shared" ref="R129:Z129" si="41">R108-SUM(R111:R126)</f>
        <v>90075939</v>
      </c>
      <c r="S129" s="30">
        <f t="shared" si="41"/>
        <v>171494714</v>
      </c>
      <c r="T129" s="30">
        <f t="shared" si="41"/>
        <v>179198592</v>
      </c>
      <c r="U129" s="30">
        <f t="shared" si="41"/>
        <v>153740504</v>
      </c>
      <c r="V129" s="30">
        <f t="shared" si="41"/>
        <v>118894312</v>
      </c>
      <c r="W129" s="30">
        <f t="shared" si="41"/>
        <v>94569059</v>
      </c>
      <c r="X129" s="30">
        <f t="shared" si="41"/>
        <v>78562916</v>
      </c>
      <c r="Y129" s="30">
        <f t="shared" si="41"/>
        <v>48012931</v>
      </c>
      <c r="Z129" s="30">
        <f t="shared" si="41"/>
        <v>43223109</v>
      </c>
      <c r="AB129" s="30">
        <f>AB108-SUM(AB111:AB126)</f>
        <v>0</v>
      </c>
      <c r="AC129" s="30">
        <f>AC108-SUM(AC111:AC126)</f>
        <v>0</v>
      </c>
      <c r="AD129" s="30">
        <f>AD108-SUM(AD111:AD126)</f>
        <v>0</v>
      </c>
    </row>
    <row r="130" spans="1:30">
      <c r="A130" s="17"/>
      <c r="B130" s="17"/>
      <c r="C130" s="17"/>
      <c r="D130" s="17"/>
      <c r="E130" s="17"/>
      <c r="F130" s="17"/>
      <c r="G130" s="17"/>
      <c r="L130" s="27"/>
      <c r="M130" s="27"/>
      <c r="P130" s="17"/>
      <c r="Q130" s="17"/>
      <c r="R130" s="17"/>
      <c r="S130" s="17"/>
      <c r="T130" s="17"/>
      <c r="Y130" s="17"/>
      <c r="Z130" s="39"/>
      <c r="AB130" s="27"/>
      <c r="AC130" s="27"/>
      <c r="AD130" s="27"/>
    </row>
    <row r="131" spans="1:30">
      <c r="A131" s="17"/>
      <c r="B131" s="17"/>
      <c r="C131" s="17"/>
      <c r="D131" s="17"/>
      <c r="E131" s="17"/>
      <c r="F131" s="27"/>
      <c r="G131" s="17"/>
      <c r="H131" s="56"/>
      <c r="L131" s="27"/>
      <c r="M131" s="27"/>
      <c r="P131" s="17"/>
      <c r="Q131" s="17"/>
      <c r="R131" s="17"/>
      <c r="S131" s="17"/>
      <c r="T131" s="17"/>
      <c r="Y131" s="17"/>
      <c r="Z131" s="39"/>
      <c r="AB131" s="27"/>
      <c r="AC131" s="27"/>
      <c r="AD131" s="27"/>
    </row>
    <row r="132" spans="1:30">
      <c r="A132" s="17"/>
      <c r="B132" s="17"/>
      <c r="C132" s="17"/>
      <c r="D132" s="17"/>
      <c r="E132" s="17"/>
      <c r="G132" s="17"/>
      <c r="L132" s="27"/>
      <c r="M132" s="27"/>
      <c r="P132" s="17"/>
      <c r="Q132" s="17"/>
      <c r="R132" s="17"/>
      <c r="S132" s="17"/>
      <c r="T132" s="17"/>
      <c r="Y132" s="17"/>
      <c r="Z132" s="39"/>
      <c r="AB132" s="27"/>
      <c r="AC132" s="27"/>
      <c r="AD132" s="27"/>
    </row>
    <row r="133" spans="1:30" ht="18.75">
      <c r="A133" s="57" t="s">
        <v>523</v>
      </c>
      <c r="B133" s="23"/>
      <c r="C133" s="23"/>
      <c r="D133" s="23"/>
      <c r="E133" s="23"/>
      <c r="G133" s="23"/>
      <c r="AC133" s="24"/>
      <c r="AD133" s="24"/>
    </row>
    <row r="134" spans="1:30">
      <c r="A134" s="58" t="str">
        <f>A6</f>
        <v>Beginning Balance (= previous year's ending balance)</v>
      </c>
      <c r="B134" s="23"/>
      <c r="C134" s="23"/>
      <c r="D134" s="23"/>
      <c r="E134" s="23"/>
      <c r="F134" s="56">
        <f t="shared" ref="F134:Z134" si="42">F6/1000000*$K$2/F$2</f>
        <v>80.618822386839483</v>
      </c>
      <c r="G134" s="23"/>
      <c r="H134" s="56">
        <f t="shared" si="42"/>
        <v>153.85268765371373</v>
      </c>
      <c r="I134" s="56">
        <f t="shared" si="42"/>
        <v>80.351329070339403</v>
      </c>
      <c r="J134" s="56">
        <f t="shared" si="42"/>
        <v>182.80776599999999</v>
      </c>
      <c r="K134" s="56">
        <f t="shared" si="42"/>
        <v>182.80776599999999</v>
      </c>
      <c r="L134" s="56">
        <f t="shared" si="42"/>
        <v>212.83707772521336</v>
      </c>
      <c r="M134" s="56">
        <f t="shared" si="42"/>
        <v>243.58483294290025</v>
      </c>
      <c r="N134" s="56">
        <f t="shared" si="42"/>
        <v>252.87829083187901</v>
      </c>
      <c r="O134" s="56">
        <f t="shared" si="42"/>
        <v>201.26693946593153</v>
      </c>
      <c r="P134" s="56">
        <f t="shared" si="42"/>
        <v>178.09269963407866</v>
      </c>
      <c r="Q134" s="56">
        <f t="shared" si="42"/>
        <v>202.53478646290966</v>
      </c>
      <c r="R134" s="56">
        <f t="shared" si="42"/>
        <v>192.83342275059161</v>
      </c>
      <c r="S134" s="56">
        <f t="shared" si="42"/>
        <v>208.47361199215942</v>
      </c>
      <c r="T134" s="56">
        <f t="shared" si="42"/>
        <v>184.66676077455028</v>
      </c>
      <c r="U134" s="56">
        <f t="shared" si="42"/>
        <v>149.00256040947946</v>
      </c>
      <c r="V134" s="56">
        <f t="shared" si="42"/>
        <v>121.67345930942302</v>
      </c>
      <c r="W134" s="56">
        <f t="shared" si="42"/>
        <v>110.76132393636557</v>
      </c>
      <c r="X134" s="56">
        <f t="shared" si="42"/>
        <v>118.28104970783644</v>
      </c>
      <c r="Y134" s="56">
        <f t="shared" si="42"/>
        <v>130.8039345268709</v>
      </c>
      <c r="Z134" s="56">
        <f t="shared" si="42"/>
        <v>119.94826030021311</v>
      </c>
      <c r="AB134" s="56" t="e">
        <f>AB6/1000000*$K$2/AB$2</f>
        <v>#REF!</v>
      </c>
      <c r="AC134" s="56" t="e">
        <f>AC6/1000000*$K$2/AC$2</f>
        <v>#REF!</v>
      </c>
      <c r="AD134" s="56" t="e">
        <f>AD6/1000000*$K$2/AD$2</f>
        <v>#REF!</v>
      </c>
    </row>
    <row r="135" spans="1:30">
      <c r="A135" s="58"/>
      <c r="B135" s="23"/>
      <c r="C135" s="23"/>
      <c r="D135" s="23"/>
      <c r="E135" s="23"/>
      <c r="F135" s="56"/>
      <c r="G135" s="23"/>
      <c r="H135" s="56"/>
      <c r="I135" s="56"/>
      <c r="J135" s="56"/>
      <c r="K135" s="56"/>
      <c r="L135" s="56"/>
      <c r="M135" s="56"/>
      <c r="N135" s="56"/>
      <c r="O135" s="56"/>
      <c r="P135" s="56"/>
      <c r="Q135" s="56"/>
      <c r="R135" s="56"/>
      <c r="S135" s="56"/>
      <c r="T135" s="56"/>
      <c r="U135" s="56"/>
      <c r="V135" s="56"/>
      <c r="W135" s="56"/>
      <c r="X135" s="56"/>
      <c r="Y135" s="56"/>
      <c r="Z135" s="56"/>
      <c r="AB135" s="56"/>
      <c r="AC135" s="56" t="e">
        <f t="shared" ref="AC135:AD154" si="43">AC7/1000000*$K$2/AC$2</f>
        <v>#REF!</v>
      </c>
      <c r="AD135" s="56" t="e">
        <f t="shared" si="43"/>
        <v>#REF!</v>
      </c>
    </row>
    <row r="136" spans="1:30">
      <c r="A136" s="59" t="s">
        <v>525</v>
      </c>
      <c r="B136" s="23"/>
      <c r="C136" s="23"/>
      <c r="D136" s="23"/>
      <c r="E136" s="23"/>
      <c r="F136" s="56"/>
      <c r="G136" s="23"/>
      <c r="H136" s="56"/>
      <c r="I136" s="56"/>
      <c r="J136" s="56"/>
      <c r="K136" s="56"/>
      <c r="L136" s="56"/>
      <c r="M136" s="56"/>
      <c r="N136" s="56"/>
      <c r="O136" s="56"/>
      <c r="P136" s="56"/>
      <c r="Q136" s="56"/>
      <c r="R136" s="56"/>
      <c r="S136" s="56"/>
      <c r="T136" s="56"/>
      <c r="U136" s="56"/>
      <c r="V136" s="56"/>
      <c r="W136" s="56"/>
      <c r="X136" s="56"/>
      <c r="Y136" s="56"/>
      <c r="Z136" s="56"/>
      <c r="AB136" s="56"/>
      <c r="AC136" s="56" t="e">
        <f t="shared" si="43"/>
        <v>#REF!</v>
      </c>
      <c r="AD136" s="56" t="e">
        <f t="shared" si="43"/>
        <v>#REF!</v>
      </c>
    </row>
    <row r="137" spans="1:30">
      <c r="A137" s="58" t="str">
        <f t="shared" ref="A137:A147" si="44">A9</f>
        <v>Real Property Taxes</v>
      </c>
      <c r="B137" s="23"/>
      <c r="C137" s="23"/>
      <c r="D137" s="23"/>
      <c r="E137" s="1"/>
      <c r="F137" s="56">
        <f t="shared" ref="F137:Z137" si="45">F9/1000000*$K$2/F$2</f>
        <v>2355.8319881328471</v>
      </c>
      <c r="G137" s="1"/>
      <c r="H137" s="56">
        <f t="shared" si="45"/>
        <v>2315.431946876537</v>
      </c>
      <c r="I137" s="56">
        <f t="shared" si="45"/>
        <v>2315.431946876537</v>
      </c>
      <c r="J137" s="56">
        <f t="shared" si="45"/>
        <v>2216.1593089999997</v>
      </c>
      <c r="K137" s="56">
        <f t="shared" si="45"/>
        <v>2216.599964</v>
      </c>
      <c r="L137" s="56">
        <f t="shared" si="45"/>
        <v>2157.8530913912255</v>
      </c>
      <c r="M137" s="56">
        <f t="shared" si="45"/>
        <v>2110.9711004187384</v>
      </c>
      <c r="N137" s="56">
        <f t="shared" si="45"/>
        <v>2125.7678387781771</v>
      </c>
      <c r="O137" s="56">
        <f t="shared" si="45"/>
        <v>2297.239614180678</v>
      </c>
      <c r="P137" s="56">
        <f t="shared" si="45"/>
        <v>2259.7473510427544</v>
      </c>
      <c r="Q137" s="56">
        <f t="shared" si="45"/>
        <v>2171.7344143283794</v>
      </c>
      <c r="R137" s="56">
        <f t="shared" si="45"/>
        <v>2164.801091397695</v>
      </c>
      <c r="S137" s="56">
        <f t="shared" si="45"/>
        <v>2094.7446791906632</v>
      </c>
      <c r="T137" s="56">
        <f t="shared" si="45"/>
        <v>1985.4130384534392</v>
      </c>
      <c r="U137" s="56">
        <f t="shared" si="45"/>
        <v>1880.7688572869147</v>
      </c>
      <c r="V137" s="56">
        <f t="shared" si="45"/>
        <v>1796.7935771048099</v>
      </c>
      <c r="W137" s="56">
        <f t="shared" si="45"/>
        <v>1622.8124407225077</v>
      </c>
      <c r="X137" s="56">
        <f t="shared" si="45"/>
        <v>1451.6906697100744</v>
      </c>
      <c r="Y137" s="56">
        <f t="shared" si="45"/>
        <v>1375.8781779851647</v>
      </c>
      <c r="Z137" s="56">
        <f t="shared" si="45"/>
        <v>1340.5213089875772</v>
      </c>
      <c r="AB137" s="56" t="e">
        <f t="shared" ref="AB137:AB147" si="46">AB9/1000000*$K$2/AB$2</f>
        <v>#REF!</v>
      </c>
      <c r="AC137" s="56" t="e">
        <f t="shared" si="43"/>
        <v>#REF!</v>
      </c>
      <c r="AD137" s="56" t="e">
        <f t="shared" si="43"/>
        <v>#REF!</v>
      </c>
    </row>
    <row r="138" spans="1:30">
      <c r="A138" s="58" t="str">
        <f t="shared" si="44"/>
        <v>Personal Property Taxes1</v>
      </c>
      <c r="B138" s="23"/>
      <c r="C138" s="23"/>
      <c r="D138" s="23"/>
      <c r="E138" s="1"/>
      <c r="F138" s="56">
        <f t="shared" ref="F138:Z138" si="47">F10/1000000*$K$2/F$2</f>
        <v>357.49476771489805</v>
      </c>
      <c r="G138" s="1"/>
      <c r="H138" s="56">
        <f t="shared" si="47"/>
        <v>356.74037481554359</v>
      </c>
      <c r="I138" s="56">
        <f t="shared" si="47"/>
        <v>357.10033939990166</v>
      </c>
      <c r="J138" s="56">
        <f t="shared" si="47"/>
        <v>360.13162999999997</v>
      </c>
      <c r="K138" s="56">
        <f t="shared" si="47"/>
        <v>354.30829199999999</v>
      </c>
      <c r="L138" s="56">
        <f t="shared" si="47"/>
        <v>359.3699881292556</v>
      </c>
      <c r="M138" s="56">
        <f t="shared" si="47"/>
        <v>326.77699222322383</v>
      </c>
      <c r="N138" s="56">
        <f t="shared" si="47"/>
        <v>317.8094892575786</v>
      </c>
      <c r="O138" s="56">
        <f t="shared" si="47"/>
        <v>321.54370651451467</v>
      </c>
      <c r="P138" s="56">
        <f t="shared" si="47"/>
        <v>349.154243419404</v>
      </c>
      <c r="Q138" s="56">
        <f t="shared" si="47"/>
        <v>338.51420852794439</v>
      </c>
      <c r="R138" s="56">
        <f t="shared" si="47"/>
        <v>353.95468515213997</v>
      </c>
      <c r="S138" s="56">
        <f t="shared" si="47"/>
        <v>340.20667084325561</v>
      </c>
      <c r="T138" s="56">
        <f t="shared" si="47"/>
        <v>339.28105068985064</v>
      </c>
      <c r="U138" s="56">
        <f t="shared" si="47"/>
        <v>344.27535122250049</v>
      </c>
      <c r="V138" s="56">
        <f t="shared" si="47"/>
        <v>348.74987688327269</v>
      </c>
      <c r="W138" s="56">
        <f t="shared" si="47"/>
        <v>372.26400063847137</v>
      </c>
      <c r="X138" s="56">
        <f t="shared" si="47"/>
        <v>424.39756093352628</v>
      </c>
      <c r="Y138" s="56">
        <f t="shared" si="47"/>
        <v>461.82122266383567</v>
      </c>
      <c r="Z138" s="56">
        <f t="shared" si="47"/>
        <v>522.80117627035224</v>
      </c>
      <c r="AB138" s="56" t="e">
        <f t="shared" si="46"/>
        <v>#REF!</v>
      </c>
      <c r="AC138" s="56" t="e">
        <f t="shared" si="43"/>
        <v>#REF!</v>
      </c>
      <c r="AD138" s="56" t="e">
        <f t="shared" si="43"/>
        <v>#REF!</v>
      </c>
    </row>
    <row r="139" spans="1:30">
      <c r="A139" s="58" t="str">
        <f t="shared" si="44"/>
        <v>General Other Local Taxes</v>
      </c>
      <c r="B139" s="23"/>
      <c r="C139" s="23"/>
      <c r="D139" s="23"/>
      <c r="E139" s="1"/>
      <c r="F139" s="56">
        <f t="shared" ref="F139:Z139" si="48">F11/1000000*$K$2/F$2</f>
        <v>479.19348651819502</v>
      </c>
      <c r="G139" s="1"/>
      <c r="H139" s="56">
        <f t="shared" si="48"/>
        <v>480.42886866699462</v>
      </c>
      <c r="I139" s="56">
        <f t="shared" si="48"/>
        <v>489.00666404328575</v>
      </c>
      <c r="J139" s="56">
        <f t="shared" si="48"/>
        <v>514.82217800000001</v>
      </c>
      <c r="K139" s="56">
        <f t="shared" si="48"/>
        <v>521.96997699999997</v>
      </c>
      <c r="L139" s="56">
        <f t="shared" si="48"/>
        <v>539.57377583684979</v>
      </c>
      <c r="M139" s="56">
        <f t="shared" si="48"/>
        <v>533.47036015659523</v>
      </c>
      <c r="N139" s="56">
        <f t="shared" si="48"/>
        <v>532.02922179878863</v>
      </c>
      <c r="O139" s="56">
        <f t="shared" si="48"/>
        <v>499.56745278589983</v>
      </c>
      <c r="P139" s="56">
        <f t="shared" si="48"/>
        <v>508.05822192881499</v>
      </c>
      <c r="Q139" s="56">
        <f t="shared" si="48"/>
        <v>521.21918780129795</v>
      </c>
      <c r="R139" s="56">
        <f t="shared" si="48"/>
        <v>548.56402648750225</v>
      </c>
      <c r="S139" s="56">
        <f t="shared" si="48"/>
        <v>584.91852711067054</v>
      </c>
      <c r="T139" s="56">
        <f t="shared" si="48"/>
        <v>561.44339468115982</v>
      </c>
      <c r="U139" s="56">
        <f t="shared" si="48"/>
        <v>511.61065134716694</v>
      </c>
      <c r="V139" s="56">
        <f t="shared" si="48"/>
        <v>480.6700147133306</v>
      </c>
      <c r="W139" s="56">
        <f t="shared" si="48"/>
        <v>474.08112558601448</v>
      </c>
      <c r="X139" s="56">
        <f t="shared" si="48"/>
        <v>481.71367136748358</v>
      </c>
      <c r="Y139" s="56">
        <f t="shared" si="48"/>
        <v>471.81817717504845</v>
      </c>
      <c r="Z139" s="56">
        <f t="shared" si="48"/>
        <v>451.72068325040328</v>
      </c>
      <c r="AB139" s="56" t="e">
        <f t="shared" si="46"/>
        <v>#REF!</v>
      </c>
      <c r="AC139" s="56" t="e">
        <f t="shared" si="43"/>
        <v>#REF!</v>
      </c>
      <c r="AD139" s="56" t="e">
        <f t="shared" si="43"/>
        <v>#REF!</v>
      </c>
    </row>
    <row r="140" spans="1:30">
      <c r="A140" s="58" t="str">
        <f t="shared" si="44"/>
        <v>Permit, Fees &amp; Regulatory Licenses</v>
      </c>
      <c r="B140" s="23"/>
      <c r="C140" s="23"/>
      <c r="D140" s="23"/>
      <c r="E140" s="1"/>
      <c r="F140" s="56">
        <f t="shared" ref="F140:Z140" si="49">F12/1000000*$K$2/F$2</f>
        <v>44.105334291131882</v>
      </c>
      <c r="G140" s="1"/>
      <c r="H140" s="56">
        <f t="shared" si="49"/>
        <v>39.156092474176091</v>
      </c>
      <c r="I140" s="56">
        <f t="shared" si="49"/>
        <v>38.798224299065424</v>
      </c>
      <c r="J140" s="56">
        <f t="shared" si="49"/>
        <v>39.351756000000002</v>
      </c>
      <c r="K140" s="56">
        <f t="shared" si="49"/>
        <v>38.688569000000001</v>
      </c>
      <c r="L140" s="56">
        <f t="shared" si="49"/>
        <v>38.8210631098246</v>
      </c>
      <c r="M140" s="56">
        <f t="shared" si="49"/>
        <v>37.990038602913039</v>
      </c>
      <c r="N140" s="56">
        <f t="shared" si="49"/>
        <v>36.064331166310154</v>
      </c>
      <c r="O140" s="56">
        <f t="shared" si="49"/>
        <v>31.121374728899148</v>
      </c>
      <c r="P140" s="56">
        <f t="shared" si="49"/>
        <v>27.028565079242743</v>
      </c>
      <c r="Q140" s="56">
        <f t="shared" si="49"/>
        <v>29.379048116474614</v>
      </c>
      <c r="R140" s="56">
        <f t="shared" si="49"/>
        <v>35.141843337264845</v>
      </c>
      <c r="S140" s="56">
        <f t="shared" si="49"/>
        <v>37.133271385371202</v>
      </c>
      <c r="T140" s="56">
        <f t="shared" si="49"/>
        <v>33.894090336540366</v>
      </c>
      <c r="U140" s="56">
        <f t="shared" si="49"/>
        <v>35.936988732389274</v>
      </c>
      <c r="V140" s="56">
        <f t="shared" si="49"/>
        <v>35.69461989037228</v>
      </c>
      <c r="W140" s="56">
        <f t="shared" si="49"/>
        <v>37.647739382352235</v>
      </c>
      <c r="X140" s="56">
        <f t="shared" si="49"/>
        <v>42.652622811345765</v>
      </c>
      <c r="Y140" s="56">
        <f t="shared" si="49"/>
        <v>46.266913545032921</v>
      </c>
      <c r="Z140" s="56">
        <f t="shared" si="49"/>
        <v>46.713269225642264</v>
      </c>
      <c r="AB140" s="56" t="e">
        <f t="shared" si="46"/>
        <v>#REF!</v>
      </c>
      <c r="AC140" s="56" t="e">
        <f t="shared" si="43"/>
        <v>#REF!</v>
      </c>
      <c r="AD140" s="56" t="e">
        <f t="shared" si="43"/>
        <v>#REF!</v>
      </c>
    </row>
    <row r="141" spans="1:30">
      <c r="A141" s="58" t="str">
        <f t="shared" si="44"/>
        <v>Fines &amp; Forfeitures</v>
      </c>
      <c r="B141" s="23"/>
      <c r="C141" s="23"/>
      <c r="D141" s="23"/>
      <c r="E141" s="1"/>
      <c r="F141" s="56">
        <f t="shared" ref="F141:Z141" si="50">F13/1000000*$K$2/F$2</f>
        <v>12.918266216865884</v>
      </c>
      <c r="G141" s="56"/>
      <c r="H141" s="56">
        <f t="shared" si="50"/>
        <v>13.131417609444171</v>
      </c>
      <c r="I141" s="56">
        <f t="shared" si="50"/>
        <v>14.004004918839152</v>
      </c>
      <c r="J141" s="56">
        <f t="shared" si="50"/>
        <v>14.073582999999999</v>
      </c>
      <c r="K141" s="56">
        <f t="shared" si="50"/>
        <v>14.217784</v>
      </c>
      <c r="L141" s="56">
        <f t="shared" si="50"/>
        <v>14.360767813163726</v>
      </c>
      <c r="M141" s="56">
        <f t="shared" si="50"/>
        <v>14.522629825107154</v>
      </c>
      <c r="N141" s="56">
        <f t="shared" si="50"/>
        <v>17.431909200017042</v>
      </c>
      <c r="O141" s="56">
        <f t="shared" si="50"/>
        <v>16.22273948362653</v>
      </c>
      <c r="P141" s="56">
        <f t="shared" si="50"/>
        <v>18.14562408046864</v>
      </c>
      <c r="Q141" s="56">
        <f t="shared" si="50"/>
        <v>16.353786907786549</v>
      </c>
      <c r="R141" s="56">
        <f t="shared" si="50"/>
        <v>16.937658531250303</v>
      </c>
      <c r="S141" s="56">
        <f t="shared" si="50"/>
        <v>17.704855570262072</v>
      </c>
      <c r="T141" s="56">
        <f t="shared" si="50"/>
        <v>18.816862082075438</v>
      </c>
      <c r="U141" s="56">
        <f t="shared" si="50"/>
        <v>16.633946549189165</v>
      </c>
      <c r="V141" s="56">
        <f t="shared" si="50"/>
        <v>14.21316082789493</v>
      </c>
      <c r="W141" s="56">
        <f t="shared" si="50"/>
        <v>13.578711468548269</v>
      </c>
      <c r="X141" s="56">
        <f t="shared" si="50"/>
        <v>12.186409236082252</v>
      </c>
      <c r="Y141" s="56">
        <f t="shared" si="50"/>
        <v>10.420613265783006</v>
      </c>
      <c r="Z141" s="56">
        <f t="shared" si="50"/>
        <v>10.14531421264606</v>
      </c>
      <c r="AB141" s="56" t="e">
        <f t="shared" si="46"/>
        <v>#REF!</v>
      </c>
      <c r="AC141" s="56" t="e">
        <f t="shared" si="43"/>
        <v>#REF!</v>
      </c>
      <c r="AD141" s="56" t="e">
        <f t="shared" si="43"/>
        <v>#REF!</v>
      </c>
    </row>
    <row r="142" spans="1:30">
      <c r="A142" s="58" t="str">
        <f t="shared" si="44"/>
        <v>Revenue from Use of Money &amp; Property</v>
      </c>
      <c r="B142" s="23"/>
      <c r="C142" s="23"/>
      <c r="D142" s="23"/>
      <c r="E142" s="1"/>
      <c r="F142" s="56">
        <f t="shared" ref="F142:Z142" si="51">F14/1000000*$K$2/F$2</f>
        <v>20.327434516895231</v>
      </c>
      <c r="G142" s="56"/>
      <c r="H142" s="56">
        <f t="shared" si="51"/>
        <v>14.990687653713724</v>
      </c>
      <c r="I142" s="56">
        <f t="shared" si="51"/>
        <v>13.991084112149533</v>
      </c>
      <c r="J142" s="56">
        <f t="shared" si="51"/>
        <v>15.234795999999999</v>
      </c>
      <c r="K142" s="56">
        <f t="shared" si="51"/>
        <v>14.963799</v>
      </c>
      <c r="L142" s="56">
        <f t="shared" si="51"/>
        <v>17.795150795796793</v>
      </c>
      <c r="M142" s="56">
        <f t="shared" si="51"/>
        <v>18.975059109214204</v>
      </c>
      <c r="N142" s="56">
        <f t="shared" si="51"/>
        <v>19.794504692776936</v>
      </c>
      <c r="O142" s="56">
        <f t="shared" si="51"/>
        <v>23.685638255494769</v>
      </c>
      <c r="P142" s="56">
        <f t="shared" si="51"/>
        <v>44.15431805246493</v>
      </c>
      <c r="Q142" s="56">
        <f t="shared" si="51"/>
        <v>89.699201934002332</v>
      </c>
      <c r="R142" s="56">
        <f t="shared" si="51"/>
        <v>109.17417462885957</v>
      </c>
      <c r="S142" s="56">
        <f t="shared" si="51"/>
        <v>85.988974420695286</v>
      </c>
      <c r="T142" s="56">
        <f t="shared" si="51"/>
        <v>36.605668571440518</v>
      </c>
      <c r="U142" s="56">
        <f t="shared" si="51"/>
        <v>22.455010669264166</v>
      </c>
      <c r="V142" s="56">
        <f t="shared" si="51"/>
        <v>26.687226896826086</v>
      </c>
      <c r="W142" s="56">
        <f t="shared" si="51"/>
        <v>37.153460848178618</v>
      </c>
      <c r="X142" s="56">
        <f t="shared" si="51"/>
        <v>78.786911105531729</v>
      </c>
      <c r="Y142" s="56">
        <f t="shared" si="51"/>
        <v>68.16226491182347</v>
      </c>
      <c r="Z142" s="56">
        <f t="shared" si="51"/>
        <v>68.218752061844739</v>
      </c>
      <c r="AB142" s="56" t="e">
        <f t="shared" si="46"/>
        <v>#REF!</v>
      </c>
      <c r="AC142" s="56" t="e">
        <f t="shared" si="43"/>
        <v>#REF!</v>
      </c>
      <c r="AD142" s="56" t="e">
        <f t="shared" si="43"/>
        <v>#REF!</v>
      </c>
    </row>
    <row r="143" spans="1:30">
      <c r="A143" s="58" t="str">
        <f t="shared" si="44"/>
        <v>Charges for Services</v>
      </c>
      <c r="B143" s="23"/>
      <c r="C143" s="23"/>
      <c r="D143" s="23"/>
      <c r="E143" s="1"/>
      <c r="F143" s="56">
        <f t="shared" ref="F143:Z143" si="52">F15/1000000*$K$2/F$2</f>
        <v>72.148826216904595</v>
      </c>
      <c r="G143" s="56"/>
      <c r="H143" s="56">
        <f t="shared" si="52"/>
        <v>72.230672897196257</v>
      </c>
      <c r="I143" s="56">
        <f t="shared" si="52"/>
        <v>76.123436301032967</v>
      </c>
      <c r="J143" s="56">
        <f t="shared" si="52"/>
        <v>71.318911</v>
      </c>
      <c r="K143" s="56">
        <f t="shared" si="52"/>
        <v>74.509000999999998</v>
      </c>
      <c r="L143" s="56">
        <f t="shared" si="52"/>
        <v>73.853008510824424</v>
      </c>
      <c r="M143" s="56">
        <f t="shared" si="52"/>
        <v>71.793653211246522</v>
      </c>
      <c r="N143" s="56">
        <f t="shared" si="52"/>
        <v>67.458355316568557</v>
      </c>
      <c r="O143" s="56">
        <f t="shared" si="52"/>
        <v>68.376162340827591</v>
      </c>
      <c r="P143" s="56">
        <f t="shared" si="52"/>
        <v>68.263238963655837</v>
      </c>
      <c r="Q143" s="56">
        <f t="shared" si="52"/>
        <v>63.735380043222811</v>
      </c>
      <c r="R143" s="56">
        <f t="shared" si="52"/>
        <v>66.323643974788041</v>
      </c>
      <c r="S143" s="56">
        <f t="shared" si="52"/>
        <v>67.566094299216289</v>
      </c>
      <c r="T143" s="56">
        <f t="shared" si="52"/>
        <v>57.623585466140987</v>
      </c>
      <c r="U143" s="56">
        <f t="shared" si="52"/>
        <v>53.299780645180874</v>
      </c>
      <c r="V143" s="56">
        <f t="shared" si="52"/>
        <v>52.17092314738769</v>
      </c>
      <c r="W143" s="56">
        <f t="shared" si="52"/>
        <v>46.375955768068373</v>
      </c>
      <c r="X143" s="56">
        <f t="shared" si="52"/>
        <v>43.78073146705723</v>
      </c>
      <c r="Y143" s="56">
        <f t="shared" si="52"/>
        <v>40.655650496062727</v>
      </c>
      <c r="Z143" s="56">
        <f t="shared" si="52"/>
        <v>43.755566281899767</v>
      </c>
      <c r="AB143" s="56" t="e">
        <f t="shared" si="46"/>
        <v>#REF!</v>
      </c>
      <c r="AC143" s="56" t="e">
        <f t="shared" si="43"/>
        <v>#REF!</v>
      </c>
      <c r="AD143" s="56" t="e">
        <f t="shared" si="43"/>
        <v>#REF!</v>
      </c>
    </row>
    <row r="144" spans="1:30">
      <c r="A144" s="58" t="str">
        <f t="shared" si="44"/>
        <v>Revenue from the Commonwealth1</v>
      </c>
      <c r="B144" s="23"/>
      <c r="C144" s="23"/>
      <c r="D144" s="23"/>
      <c r="E144" s="1"/>
      <c r="F144" s="56">
        <f t="shared" ref="F144:Z144" si="53">F16/1000000*$K$2/F$2</f>
        <v>296.98592602288505</v>
      </c>
      <c r="G144" s="56"/>
      <c r="H144" s="56">
        <f t="shared" si="53"/>
        <v>301.61687358583373</v>
      </c>
      <c r="I144" s="56">
        <f t="shared" si="53"/>
        <v>301.80596950319722</v>
      </c>
      <c r="J144" s="56">
        <f t="shared" si="53"/>
        <v>303.66506800000002</v>
      </c>
      <c r="K144" s="56">
        <f t="shared" si="53"/>
        <v>307.46370300000007</v>
      </c>
      <c r="L144" s="56">
        <f t="shared" si="53"/>
        <v>306.01085386517195</v>
      </c>
      <c r="M144" s="56">
        <f t="shared" si="53"/>
        <v>314.171599801485</v>
      </c>
      <c r="N144" s="56">
        <f t="shared" si="53"/>
        <v>325.23425714106259</v>
      </c>
      <c r="O144" s="56">
        <f t="shared" si="53"/>
        <v>321.02550145071217</v>
      </c>
      <c r="P144" s="56">
        <f t="shared" si="53"/>
        <v>349.94020325539424</v>
      </c>
      <c r="Q144" s="56">
        <f t="shared" si="53"/>
        <v>343.53576567277827</v>
      </c>
      <c r="R144" s="56">
        <f t="shared" si="53"/>
        <v>346.27897547952421</v>
      </c>
      <c r="S144" s="56">
        <f t="shared" si="53"/>
        <v>349.63115407826723</v>
      </c>
      <c r="T144" s="56">
        <f t="shared" si="53"/>
        <v>336.91421389138765</v>
      </c>
      <c r="U144" s="56">
        <f t="shared" si="53"/>
        <v>354.3169512309679</v>
      </c>
      <c r="V144" s="56">
        <f t="shared" si="53"/>
        <v>353.96087993208971</v>
      </c>
      <c r="W144" s="56">
        <f t="shared" si="53"/>
        <v>365.80044927026779</v>
      </c>
      <c r="X144" s="56">
        <f t="shared" si="53"/>
        <v>270.67441889708363</v>
      </c>
      <c r="Y144" s="56">
        <f t="shared" si="53"/>
        <v>201.75030061993812</v>
      </c>
      <c r="Z144" s="56">
        <f t="shared" si="53"/>
        <v>102.66233106860446</v>
      </c>
      <c r="AB144" s="56" t="e">
        <f t="shared" si="46"/>
        <v>#REF!</v>
      </c>
      <c r="AC144" s="56" t="e">
        <f t="shared" si="43"/>
        <v>#REF!</v>
      </c>
      <c r="AD144" s="56" t="e">
        <f t="shared" si="43"/>
        <v>#REF!</v>
      </c>
    </row>
    <row r="145" spans="1:30">
      <c r="A145" s="58" t="str">
        <f t="shared" si="44"/>
        <v>Revenue from the Federal Government</v>
      </c>
      <c r="B145" s="23"/>
      <c r="C145" s="23"/>
      <c r="D145" s="23"/>
      <c r="E145" s="1"/>
      <c r="F145" s="56">
        <f t="shared" ref="F145:Z145" si="54">F17/1000000*$K$2/F$2</f>
        <v>28.029363026056298</v>
      </c>
      <c r="G145" s="56"/>
      <c r="H145" s="56">
        <f t="shared" si="54"/>
        <v>28.126216428922778</v>
      </c>
      <c r="I145" s="56">
        <f t="shared" si="54"/>
        <v>27.027791441219868</v>
      </c>
      <c r="J145" s="56">
        <f t="shared" si="54"/>
        <v>33.497926999999997</v>
      </c>
      <c r="K145" s="56">
        <f t="shared" si="54"/>
        <v>26.576619999999998</v>
      </c>
      <c r="L145" s="56">
        <f t="shared" si="54"/>
        <v>31.658172960817179</v>
      </c>
      <c r="M145" s="56">
        <f t="shared" si="54"/>
        <v>41.46698695763498</v>
      </c>
      <c r="N145" s="56">
        <f t="shared" si="54"/>
        <v>40.434015604617542</v>
      </c>
      <c r="O145" s="56">
        <f t="shared" si="54"/>
        <v>52.414347680879381</v>
      </c>
      <c r="P145" s="56">
        <f t="shared" si="54"/>
        <v>42.592114475831679</v>
      </c>
      <c r="Q145" s="56">
        <f t="shared" si="54"/>
        <v>39.231273028444413</v>
      </c>
      <c r="R145" s="56">
        <f t="shared" si="54"/>
        <v>45.764232197341428</v>
      </c>
      <c r="S145" s="56">
        <f t="shared" si="54"/>
        <v>56.386435502814159</v>
      </c>
      <c r="T145" s="56">
        <f t="shared" si="54"/>
        <v>55.778495541909884</v>
      </c>
      <c r="U145" s="56">
        <f t="shared" si="54"/>
        <v>70.97596788069437</v>
      </c>
      <c r="V145" s="56">
        <f t="shared" si="54"/>
        <v>60.467448896817942</v>
      </c>
      <c r="W145" s="56">
        <f t="shared" si="54"/>
        <v>49.577514363637214</v>
      </c>
      <c r="X145" s="56">
        <f t="shared" si="54"/>
        <v>49.306622791831366</v>
      </c>
      <c r="Y145" s="56">
        <f t="shared" si="54"/>
        <v>47.036740515437479</v>
      </c>
      <c r="Z145" s="56">
        <f t="shared" si="54"/>
        <v>44.336536160301122</v>
      </c>
      <c r="AB145" s="56" t="e">
        <f t="shared" si="46"/>
        <v>#REF!</v>
      </c>
      <c r="AC145" s="56" t="e">
        <f t="shared" si="43"/>
        <v>#REF!</v>
      </c>
      <c r="AD145" s="56" t="e">
        <f t="shared" si="43"/>
        <v>#REF!</v>
      </c>
    </row>
    <row r="146" spans="1:30">
      <c r="A146" s="58" t="str">
        <f t="shared" si="44"/>
        <v>Recovered Costs/Other Revenue</v>
      </c>
      <c r="B146" s="23"/>
      <c r="C146" s="23"/>
      <c r="D146" s="23"/>
      <c r="E146" s="1"/>
      <c r="F146" s="56">
        <f t="shared" ref="F146:Z146" si="55">F18/1000000*$K$2/F$2</f>
        <v>17.743991479496326</v>
      </c>
      <c r="G146" s="56"/>
      <c r="H146" s="56">
        <f t="shared" si="55"/>
        <v>19.109553369404821</v>
      </c>
      <c r="I146" s="56">
        <f t="shared" si="55"/>
        <v>15.07600098376783</v>
      </c>
      <c r="J146" s="56">
        <f t="shared" si="55"/>
        <v>17.852508</v>
      </c>
      <c r="K146" s="56">
        <f t="shared" si="55"/>
        <v>15.030165</v>
      </c>
      <c r="L146" s="56">
        <f t="shared" si="55"/>
        <v>15.546106697750124</v>
      </c>
      <c r="M146" s="56">
        <f t="shared" si="55"/>
        <v>14.678118877166096</v>
      </c>
      <c r="N146" s="56">
        <f t="shared" si="55"/>
        <v>13.15769944115187</v>
      </c>
      <c r="O146" s="56">
        <f t="shared" si="55"/>
        <v>6.4490716000308792</v>
      </c>
      <c r="P146" s="56">
        <f t="shared" si="55"/>
        <v>9.3238188943601035</v>
      </c>
      <c r="Q146" s="56">
        <f t="shared" si="55"/>
        <v>10.282342034034981</v>
      </c>
      <c r="R146" s="56">
        <f t="shared" si="55"/>
        <v>8.5067479047001253</v>
      </c>
      <c r="S146" s="56">
        <f t="shared" si="55"/>
        <v>9.1210922157043655</v>
      </c>
      <c r="T146" s="56">
        <f t="shared" si="55"/>
        <v>8.7845930586183645</v>
      </c>
      <c r="U146" s="56">
        <f t="shared" si="55"/>
        <v>8.1363814271369339</v>
      </c>
      <c r="V146" s="56">
        <f t="shared" si="55"/>
        <v>6.9791160007318851</v>
      </c>
      <c r="W146" s="56">
        <f t="shared" si="55"/>
        <v>7.7637606119353348</v>
      </c>
      <c r="X146" s="56">
        <f t="shared" si="55"/>
        <v>7.2645720962121221</v>
      </c>
      <c r="Y146" s="56">
        <f t="shared" si="55"/>
        <v>15.235198623842434</v>
      </c>
      <c r="Z146" s="56">
        <f t="shared" si="55"/>
        <v>6.6375520857813122</v>
      </c>
      <c r="AB146" s="56" t="e">
        <f t="shared" si="46"/>
        <v>#REF!</v>
      </c>
      <c r="AC146" s="56" t="e">
        <f t="shared" si="43"/>
        <v>#REF!</v>
      </c>
      <c r="AD146" s="56" t="e">
        <f t="shared" si="43"/>
        <v>#REF!</v>
      </c>
    </row>
    <row r="147" spans="1:30">
      <c r="A147" s="61" t="str">
        <f t="shared" si="44"/>
        <v>Total Revenue</v>
      </c>
      <c r="B147" s="23"/>
      <c r="C147" s="23"/>
      <c r="D147" s="23"/>
      <c r="E147" s="1"/>
      <c r="F147" s="60">
        <f t="shared" ref="F147:Z147" si="56">F19/1000000*$K$2/F$2</f>
        <v>3684.7793841361749</v>
      </c>
      <c r="G147" s="60"/>
      <c r="H147" s="60">
        <f t="shared" si="56"/>
        <v>3640.9627043777668</v>
      </c>
      <c r="I147" s="60">
        <f t="shared" si="56"/>
        <v>3648.3654618789965</v>
      </c>
      <c r="J147" s="60">
        <f t="shared" si="56"/>
        <v>3586.1076659999999</v>
      </c>
      <c r="K147" s="60">
        <f t="shared" si="56"/>
        <v>3584.3278740000001</v>
      </c>
      <c r="L147" s="60">
        <f t="shared" si="56"/>
        <v>3554.8419791106794</v>
      </c>
      <c r="M147" s="60">
        <f t="shared" si="56"/>
        <v>3484.8165391833245</v>
      </c>
      <c r="N147" s="60">
        <f t="shared" si="56"/>
        <v>3495.1816223970491</v>
      </c>
      <c r="O147" s="60">
        <f t="shared" si="56"/>
        <v>3637.6456090215634</v>
      </c>
      <c r="P147" s="60">
        <f t="shared" si="56"/>
        <v>3676.4076991923912</v>
      </c>
      <c r="Q147" s="60">
        <f t="shared" si="56"/>
        <v>3623.6846083943656</v>
      </c>
      <c r="R147" s="60">
        <f t="shared" si="56"/>
        <v>3695.4470790910655</v>
      </c>
      <c r="S147" s="60">
        <f t="shared" si="56"/>
        <v>3643.4017546169198</v>
      </c>
      <c r="T147" s="60">
        <f t="shared" si="56"/>
        <v>3434.5549927725629</v>
      </c>
      <c r="U147" s="60">
        <f t="shared" si="56"/>
        <v>3298.4098869914046</v>
      </c>
      <c r="V147" s="60">
        <f t="shared" si="56"/>
        <v>3176.3868442935341</v>
      </c>
      <c r="W147" s="60">
        <f t="shared" si="56"/>
        <v>3027.0551586599818</v>
      </c>
      <c r="X147" s="60">
        <f t="shared" si="56"/>
        <v>2862.4541904162288</v>
      </c>
      <c r="Y147" s="60">
        <f t="shared" si="56"/>
        <v>2739.0452598019692</v>
      </c>
      <c r="Z147" s="60">
        <f t="shared" si="56"/>
        <v>2637.512489605052</v>
      </c>
      <c r="AB147" s="60" t="e">
        <f t="shared" si="46"/>
        <v>#REF!</v>
      </c>
      <c r="AC147" s="56" t="e">
        <f t="shared" si="43"/>
        <v>#REF!</v>
      </c>
      <c r="AD147" s="56" t="e">
        <f t="shared" si="43"/>
        <v>#REF!</v>
      </c>
    </row>
    <row r="148" spans="1:30">
      <c r="A148" s="58"/>
      <c r="B148" s="23"/>
      <c r="C148" s="23"/>
      <c r="D148" s="23"/>
      <c r="E148" s="23"/>
      <c r="K148" s="56"/>
      <c r="L148" s="56"/>
      <c r="M148" s="56"/>
      <c r="N148" s="56"/>
      <c r="O148" s="56"/>
      <c r="P148" s="56"/>
      <c r="Q148" s="56"/>
      <c r="R148" s="56"/>
      <c r="S148" s="56"/>
      <c r="T148" s="56"/>
      <c r="U148" s="56"/>
      <c r="V148" s="56"/>
      <c r="W148" s="56"/>
      <c r="X148" s="56"/>
      <c r="Y148" s="56"/>
      <c r="Z148" s="56"/>
      <c r="AB148" s="56"/>
      <c r="AC148" s="56" t="e">
        <f t="shared" si="43"/>
        <v>#REF!</v>
      </c>
      <c r="AD148" s="56" t="e">
        <f t="shared" si="43"/>
        <v>#REF!</v>
      </c>
    </row>
    <row r="149" spans="1:30">
      <c r="A149" s="59" t="str">
        <f t="shared" ref="A149:A173" si="57">A21</f>
        <v>Transfers In</v>
      </c>
      <c r="B149" s="23"/>
      <c r="C149" s="23"/>
      <c r="D149" s="23"/>
      <c r="E149" s="23"/>
      <c r="K149" s="56"/>
      <c r="L149" s="56"/>
      <c r="M149" s="56"/>
      <c r="N149" s="56"/>
      <c r="O149" s="56"/>
      <c r="P149" s="56"/>
      <c r="Q149" s="56"/>
      <c r="R149" s="56"/>
      <c r="S149" s="56"/>
      <c r="T149" s="56"/>
      <c r="U149" s="56"/>
      <c r="V149" s="56"/>
      <c r="W149" s="56"/>
      <c r="X149" s="56"/>
      <c r="Y149" s="56"/>
      <c r="Z149" s="56"/>
      <c r="AB149" s="56"/>
      <c r="AC149" s="56" t="e">
        <f t="shared" si="43"/>
        <v>#REF!</v>
      </c>
      <c r="AD149" s="56" t="e">
        <f t="shared" si="43"/>
        <v>#REF!</v>
      </c>
    </row>
    <row r="150" spans="1:30">
      <c r="A150" s="58" t="str">
        <f t="shared" si="57"/>
        <v>Fund 10010 Revenue Stabilization Fund</v>
      </c>
      <c r="B150" s="62" t="str">
        <f>B22</f>
        <v>002</v>
      </c>
      <c r="C150" s="62" t="str">
        <f>C22</f>
        <v xml:space="preserve">10010 </v>
      </c>
      <c r="D150" s="62"/>
      <c r="E150" s="62"/>
      <c r="F150" s="56">
        <f t="shared" ref="F150:Z150" si="58">F22/1000000*$K$2/F$2</f>
        <v>0</v>
      </c>
      <c r="G150" s="56"/>
      <c r="H150" s="56">
        <f t="shared" si="58"/>
        <v>0</v>
      </c>
      <c r="I150" s="56">
        <f t="shared" si="58"/>
        <v>0</v>
      </c>
      <c r="J150" s="56">
        <f t="shared" si="58"/>
        <v>0</v>
      </c>
      <c r="K150" s="56">
        <f t="shared" si="58"/>
        <v>0</v>
      </c>
      <c r="L150" s="56">
        <f t="shared" si="58"/>
        <v>0</v>
      </c>
      <c r="M150" s="56">
        <f t="shared" si="58"/>
        <v>0</v>
      </c>
      <c r="N150" s="56">
        <f t="shared" si="58"/>
        <v>0</v>
      </c>
      <c r="O150" s="56">
        <f t="shared" si="58"/>
        <v>0</v>
      </c>
      <c r="P150" s="56">
        <f t="shared" si="58"/>
        <v>20.682140705006599</v>
      </c>
      <c r="Q150" s="56">
        <f t="shared" si="58"/>
        <v>0</v>
      </c>
      <c r="R150" s="56">
        <f t="shared" si="58"/>
        <v>0</v>
      </c>
      <c r="S150" s="56">
        <f t="shared" si="58"/>
        <v>0</v>
      </c>
      <c r="T150" s="56">
        <f t="shared" si="58"/>
        <v>0</v>
      </c>
      <c r="U150" s="56">
        <f t="shared" si="58"/>
        <v>0</v>
      </c>
      <c r="V150" s="56">
        <f t="shared" si="58"/>
        <v>0</v>
      </c>
      <c r="W150" s="56">
        <f t="shared" si="58"/>
        <v>0</v>
      </c>
      <c r="X150" s="56">
        <f t="shared" si="58"/>
        <v>0</v>
      </c>
      <c r="Y150" s="56">
        <f t="shared" si="58"/>
        <v>0</v>
      </c>
      <c r="Z150" s="56">
        <f t="shared" si="58"/>
        <v>0</v>
      </c>
      <c r="AB150" s="56" t="e">
        <f t="shared" ref="AB150:AB173" si="59">AB22/1000000*$K$2/AB$2</f>
        <v>#REF!</v>
      </c>
      <c r="AC150" s="56" t="e">
        <f t="shared" si="43"/>
        <v>#REF!</v>
      </c>
      <c r="AD150" s="56" t="e">
        <f t="shared" si="43"/>
        <v>#REF!</v>
      </c>
    </row>
    <row r="151" spans="1:30">
      <c r="A151" s="58" t="str">
        <f t="shared" si="57"/>
        <v>Fund 20000 Consolidated Debt Service</v>
      </c>
      <c r="B151" s="62" t="str">
        <f t="shared" ref="B151:C151" si="60">B23</f>
        <v>200</v>
      </c>
      <c r="C151" s="62" t="str">
        <f t="shared" si="60"/>
        <v xml:space="preserve">20000 </v>
      </c>
      <c r="D151" s="62"/>
      <c r="E151" s="62"/>
      <c r="F151" s="56">
        <f t="shared" ref="F151:Z151" si="61">F23/1000000*$K$2/F$2</f>
        <v>0</v>
      </c>
      <c r="G151" s="56"/>
      <c r="H151" s="56">
        <f t="shared" si="61"/>
        <v>0</v>
      </c>
      <c r="I151" s="56">
        <f t="shared" si="61"/>
        <v>0</v>
      </c>
      <c r="J151" s="56">
        <f t="shared" si="61"/>
        <v>8</v>
      </c>
      <c r="K151" s="56">
        <f t="shared" si="61"/>
        <v>8</v>
      </c>
      <c r="L151" s="56">
        <f t="shared" si="61"/>
        <v>0</v>
      </c>
      <c r="M151" s="56">
        <f t="shared" si="61"/>
        <v>0</v>
      </c>
      <c r="N151" s="56">
        <f t="shared" si="61"/>
        <v>0</v>
      </c>
      <c r="O151" s="56">
        <f t="shared" si="61"/>
        <v>0</v>
      </c>
      <c r="P151" s="56">
        <f t="shared" si="61"/>
        <v>0</v>
      </c>
      <c r="Q151" s="56">
        <f t="shared" si="61"/>
        <v>0</v>
      </c>
      <c r="R151" s="56">
        <f t="shared" si="61"/>
        <v>0</v>
      </c>
      <c r="S151" s="56">
        <f t="shared" si="61"/>
        <v>0</v>
      </c>
      <c r="T151" s="56">
        <f t="shared" si="61"/>
        <v>0</v>
      </c>
      <c r="U151" s="56">
        <f t="shared" si="61"/>
        <v>0</v>
      </c>
      <c r="V151" s="56">
        <f t="shared" si="61"/>
        <v>0</v>
      </c>
      <c r="W151" s="56">
        <f t="shared" si="61"/>
        <v>0</v>
      </c>
      <c r="X151" s="56">
        <f t="shared" si="61"/>
        <v>0</v>
      </c>
      <c r="Y151" s="56">
        <f t="shared" si="61"/>
        <v>0</v>
      </c>
      <c r="Z151" s="56">
        <f t="shared" si="61"/>
        <v>0</v>
      </c>
      <c r="AB151" s="56" t="e">
        <f t="shared" si="59"/>
        <v>#REF!</v>
      </c>
      <c r="AC151" s="56" t="e">
        <f t="shared" si="43"/>
        <v>#REF!</v>
      </c>
      <c r="AD151" s="56" t="e">
        <f t="shared" si="43"/>
        <v>#REF!</v>
      </c>
    </row>
    <row r="152" spans="1:30">
      <c r="A152" s="58" t="str">
        <f t="shared" si="57"/>
        <v>Fund 30010 County Construction</v>
      </c>
      <c r="B152" s="62" t="str">
        <f t="shared" ref="B152:C152" si="62">B24</f>
        <v>303</v>
      </c>
      <c r="C152" s="62" t="str">
        <f t="shared" si="62"/>
        <v xml:space="preserve">30010 </v>
      </c>
      <c r="D152" s="62"/>
      <c r="E152" s="62"/>
      <c r="F152" s="56">
        <f t="shared" ref="F152:Z152" si="63">F24/1000000*$K$2/F$2</f>
        <v>0</v>
      </c>
      <c r="G152" s="56"/>
      <c r="H152" s="56">
        <f t="shared" si="63"/>
        <v>0</v>
      </c>
      <c r="I152" s="56">
        <f t="shared" si="63"/>
        <v>0</v>
      </c>
      <c r="J152" s="56">
        <f t="shared" si="63"/>
        <v>0</v>
      </c>
      <c r="K152" s="56">
        <f t="shared" si="63"/>
        <v>0</v>
      </c>
      <c r="L152" s="56">
        <f t="shared" si="63"/>
        <v>0</v>
      </c>
      <c r="M152" s="56">
        <f t="shared" si="63"/>
        <v>0</v>
      </c>
      <c r="N152" s="56">
        <f t="shared" si="63"/>
        <v>0</v>
      </c>
      <c r="O152" s="56">
        <f t="shared" si="63"/>
        <v>0</v>
      </c>
      <c r="P152" s="56">
        <f t="shared" si="63"/>
        <v>8.3510131929907985</v>
      </c>
      <c r="Q152" s="56">
        <f t="shared" si="63"/>
        <v>0</v>
      </c>
      <c r="R152" s="56">
        <f t="shared" si="63"/>
        <v>0</v>
      </c>
      <c r="S152" s="56">
        <f t="shared" si="63"/>
        <v>0</v>
      </c>
      <c r="T152" s="56">
        <f t="shared" si="63"/>
        <v>0</v>
      </c>
      <c r="U152" s="56">
        <f t="shared" si="63"/>
        <v>0</v>
      </c>
      <c r="V152" s="56">
        <f t="shared" si="63"/>
        <v>0</v>
      </c>
      <c r="W152" s="56">
        <f t="shared" si="63"/>
        <v>0</v>
      </c>
      <c r="X152" s="56">
        <f t="shared" si="63"/>
        <v>0</v>
      </c>
      <c r="Y152" s="56">
        <f t="shared" si="63"/>
        <v>0</v>
      </c>
      <c r="Z152" s="56">
        <f t="shared" si="63"/>
        <v>0</v>
      </c>
      <c r="AB152" s="56" t="e">
        <f t="shared" si="59"/>
        <v>#REF!</v>
      </c>
      <c r="AC152" s="56" t="e">
        <f t="shared" si="43"/>
        <v>#REF!</v>
      </c>
      <c r="AD152" s="56" t="e">
        <f t="shared" si="43"/>
        <v>#REF!</v>
      </c>
    </row>
    <row r="153" spans="1:30">
      <c r="A153" s="58" t="str">
        <f t="shared" si="57"/>
        <v>Fund 30030 Library Construction</v>
      </c>
      <c r="B153" s="62" t="str">
        <f t="shared" ref="B153:C153" si="64">B25</f>
        <v>302</v>
      </c>
      <c r="C153" s="62" t="str">
        <f t="shared" si="64"/>
        <v xml:space="preserve">30030 </v>
      </c>
      <c r="D153" s="62"/>
      <c r="E153" s="62"/>
      <c r="F153" s="56">
        <f t="shared" ref="F153:Z153" si="65">F25/1000000*$K$2/F$2</f>
        <v>0</v>
      </c>
      <c r="G153" s="56"/>
      <c r="H153" s="56">
        <f t="shared" si="65"/>
        <v>0</v>
      </c>
      <c r="I153" s="56">
        <f t="shared" si="65"/>
        <v>0</v>
      </c>
      <c r="J153" s="56">
        <f t="shared" si="65"/>
        <v>0</v>
      </c>
      <c r="K153" s="56">
        <f t="shared" si="65"/>
        <v>0</v>
      </c>
      <c r="L153" s="56">
        <f t="shared" si="65"/>
        <v>0</v>
      </c>
      <c r="M153" s="56">
        <f t="shared" si="65"/>
        <v>0</v>
      </c>
      <c r="N153" s="56">
        <f t="shared" si="65"/>
        <v>0</v>
      </c>
      <c r="O153" s="56">
        <f t="shared" si="65"/>
        <v>0</v>
      </c>
      <c r="P153" s="56">
        <f t="shared" si="65"/>
        <v>2.1107199186294205</v>
      </c>
      <c r="Q153" s="56">
        <f t="shared" si="65"/>
        <v>0</v>
      </c>
      <c r="R153" s="56">
        <f t="shared" si="65"/>
        <v>0</v>
      </c>
      <c r="S153" s="56">
        <f t="shared" si="65"/>
        <v>0</v>
      </c>
      <c r="T153" s="56">
        <f t="shared" si="65"/>
        <v>0</v>
      </c>
      <c r="U153" s="56">
        <f t="shared" si="65"/>
        <v>0</v>
      </c>
      <c r="V153" s="56">
        <f t="shared" si="65"/>
        <v>0</v>
      </c>
      <c r="W153" s="56">
        <f t="shared" si="65"/>
        <v>0</v>
      </c>
      <c r="X153" s="56">
        <f t="shared" si="65"/>
        <v>0</v>
      </c>
      <c r="Y153" s="56">
        <f t="shared" si="65"/>
        <v>0</v>
      </c>
      <c r="Z153" s="56">
        <f t="shared" si="65"/>
        <v>0</v>
      </c>
      <c r="AB153" s="56" t="e">
        <f t="shared" si="59"/>
        <v>#REF!</v>
      </c>
      <c r="AC153" s="56" t="e">
        <f t="shared" si="43"/>
        <v>#REF!</v>
      </c>
      <c r="AD153" s="56" t="e">
        <f t="shared" si="43"/>
        <v>#REF!</v>
      </c>
    </row>
    <row r="154" spans="1:30">
      <c r="A154" s="58" t="str">
        <f t="shared" si="57"/>
        <v>Fund 30060 Pedestrian Walkway Improvements</v>
      </c>
      <c r="B154" s="62" t="str">
        <f t="shared" ref="B154:C154" si="66">B26</f>
        <v>307</v>
      </c>
      <c r="C154" s="62" t="str">
        <f t="shared" si="66"/>
        <v xml:space="preserve">30060 </v>
      </c>
      <c r="D154" s="62"/>
      <c r="E154" s="62"/>
      <c r="F154" s="56">
        <f t="shared" ref="F154:Z154" si="67">F26/1000000*$K$2/F$2</f>
        <v>0</v>
      </c>
      <c r="G154" s="56"/>
      <c r="H154" s="56">
        <f t="shared" si="67"/>
        <v>0</v>
      </c>
      <c r="I154" s="56">
        <f t="shared" si="67"/>
        <v>0</v>
      </c>
      <c r="J154" s="56">
        <f t="shared" si="67"/>
        <v>0</v>
      </c>
      <c r="K154" s="56">
        <f t="shared" si="67"/>
        <v>0</v>
      </c>
      <c r="L154" s="56">
        <f t="shared" si="67"/>
        <v>0</v>
      </c>
      <c r="M154" s="56">
        <f t="shared" si="67"/>
        <v>0</v>
      </c>
      <c r="N154" s="56">
        <f t="shared" si="67"/>
        <v>0</v>
      </c>
      <c r="O154" s="56">
        <f t="shared" si="67"/>
        <v>0</v>
      </c>
      <c r="P154" s="56">
        <f t="shared" si="67"/>
        <v>1.3932472442204998E-2</v>
      </c>
      <c r="Q154" s="56">
        <f t="shared" si="67"/>
        <v>0</v>
      </c>
      <c r="R154" s="56">
        <f t="shared" si="67"/>
        <v>0</v>
      </c>
      <c r="S154" s="56">
        <f t="shared" si="67"/>
        <v>0</v>
      </c>
      <c r="T154" s="56">
        <f t="shared" si="67"/>
        <v>0</v>
      </c>
      <c r="U154" s="56">
        <f t="shared" si="67"/>
        <v>0</v>
      </c>
      <c r="V154" s="56">
        <f t="shared" si="67"/>
        <v>0</v>
      </c>
      <c r="W154" s="56">
        <f t="shared" si="67"/>
        <v>0</v>
      </c>
      <c r="X154" s="56">
        <f t="shared" si="67"/>
        <v>0</v>
      </c>
      <c r="Y154" s="56">
        <f t="shared" si="67"/>
        <v>0</v>
      </c>
      <c r="Z154" s="56">
        <f t="shared" si="67"/>
        <v>0</v>
      </c>
      <c r="AB154" s="56" t="e">
        <f t="shared" si="59"/>
        <v>#REF!</v>
      </c>
      <c r="AC154" s="56" t="e">
        <f t="shared" si="43"/>
        <v>#REF!</v>
      </c>
      <c r="AD154" s="56" t="e">
        <f t="shared" si="43"/>
        <v>#REF!</v>
      </c>
    </row>
    <row r="155" spans="1:30">
      <c r="A155" s="58" t="str">
        <f t="shared" si="57"/>
        <v>Fund 30070 Public Safety Construction</v>
      </c>
      <c r="B155" s="62" t="str">
        <f t="shared" ref="B155:C155" si="68">B27</f>
        <v>312</v>
      </c>
      <c r="C155" s="62" t="str">
        <f t="shared" si="68"/>
        <v>30070</v>
      </c>
      <c r="D155" s="62"/>
      <c r="E155" s="62"/>
      <c r="F155" s="56">
        <f t="shared" ref="F155:Z155" si="69">F27/1000000*$K$2/F$2</f>
        <v>0</v>
      </c>
      <c r="G155" s="56"/>
      <c r="H155" s="56">
        <f t="shared" si="69"/>
        <v>0</v>
      </c>
      <c r="I155" s="56">
        <f t="shared" si="69"/>
        <v>0</v>
      </c>
      <c r="J155" s="56">
        <f t="shared" si="69"/>
        <v>0</v>
      </c>
      <c r="K155" s="56">
        <f t="shared" si="69"/>
        <v>0</v>
      </c>
      <c r="L155" s="56">
        <f t="shared" si="69"/>
        <v>0</v>
      </c>
      <c r="M155" s="56">
        <f t="shared" si="69"/>
        <v>0</v>
      </c>
      <c r="N155" s="56">
        <f t="shared" si="69"/>
        <v>0</v>
      </c>
      <c r="O155" s="56">
        <f t="shared" si="69"/>
        <v>3.2570004952856149</v>
      </c>
      <c r="P155" s="56">
        <f t="shared" si="69"/>
        <v>4.6280382891241763</v>
      </c>
      <c r="Q155" s="56">
        <f t="shared" si="69"/>
        <v>0</v>
      </c>
      <c r="R155" s="56">
        <f t="shared" si="69"/>
        <v>0</v>
      </c>
      <c r="S155" s="56">
        <f t="shared" si="69"/>
        <v>0</v>
      </c>
      <c r="T155" s="56">
        <f t="shared" si="69"/>
        <v>0</v>
      </c>
      <c r="U155" s="56">
        <f t="shared" si="69"/>
        <v>0</v>
      </c>
      <c r="V155" s="56">
        <f t="shared" si="69"/>
        <v>0</v>
      </c>
      <c r="W155" s="56">
        <f t="shared" si="69"/>
        <v>0</v>
      </c>
      <c r="X155" s="56">
        <f t="shared" si="69"/>
        <v>0</v>
      </c>
      <c r="Y155" s="56">
        <f t="shared" si="69"/>
        <v>0</v>
      </c>
      <c r="Z155" s="56">
        <f t="shared" si="69"/>
        <v>0</v>
      </c>
      <c r="AB155" s="56" t="e">
        <f t="shared" si="59"/>
        <v>#REF!</v>
      </c>
      <c r="AC155" s="56" t="e">
        <f t="shared" ref="AC155:AD174" si="70">AC27/1000000*$K$2/AC$2</f>
        <v>#REF!</v>
      </c>
      <c r="AD155" s="56" t="e">
        <f t="shared" si="70"/>
        <v>#REF!</v>
      </c>
    </row>
    <row r="156" spans="1:30">
      <c r="A156" s="58" t="str">
        <f t="shared" si="57"/>
        <v>Fund 40000 County Transit Systems</v>
      </c>
      <c r="B156" s="62" t="str">
        <f t="shared" ref="B156:C156" si="71">B28</f>
        <v>100</v>
      </c>
      <c r="C156" s="62" t="str">
        <f t="shared" si="71"/>
        <v>40000</v>
      </c>
      <c r="D156" s="62"/>
      <c r="E156" s="62"/>
      <c r="F156" s="56">
        <f t="shared" ref="F156:Z156" si="72">F28/1000000*$K$2/F$2</f>
        <v>0</v>
      </c>
      <c r="G156" s="56"/>
      <c r="H156" s="56">
        <f t="shared" si="72"/>
        <v>0</v>
      </c>
      <c r="I156" s="56">
        <f t="shared" si="72"/>
        <v>0</v>
      </c>
      <c r="J156" s="56">
        <f t="shared" si="72"/>
        <v>4</v>
      </c>
      <c r="K156" s="56">
        <f t="shared" si="72"/>
        <v>4</v>
      </c>
      <c r="L156" s="56">
        <f t="shared" si="72"/>
        <v>0</v>
      </c>
      <c r="M156" s="56">
        <f t="shared" si="72"/>
        <v>0</v>
      </c>
      <c r="N156" s="56">
        <f t="shared" si="72"/>
        <v>0</v>
      </c>
      <c r="O156" s="56">
        <f t="shared" si="72"/>
        <v>0</v>
      </c>
      <c r="P156" s="56">
        <f t="shared" si="72"/>
        <v>0</v>
      </c>
      <c r="Q156" s="56">
        <f t="shared" si="72"/>
        <v>0</v>
      </c>
      <c r="R156" s="56">
        <f t="shared" si="72"/>
        <v>0</v>
      </c>
      <c r="S156" s="56">
        <f t="shared" si="72"/>
        <v>0</v>
      </c>
      <c r="T156" s="56">
        <f t="shared" si="72"/>
        <v>0</v>
      </c>
      <c r="U156" s="56">
        <f t="shared" si="72"/>
        <v>0</v>
      </c>
      <c r="V156" s="56">
        <f t="shared" si="72"/>
        <v>0</v>
      </c>
      <c r="W156" s="56">
        <f t="shared" si="72"/>
        <v>0</v>
      </c>
      <c r="X156" s="56">
        <f t="shared" si="72"/>
        <v>0</v>
      </c>
      <c r="Y156" s="56">
        <f t="shared" si="72"/>
        <v>0</v>
      </c>
      <c r="Z156" s="56">
        <f t="shared" si="72"/>
        <v>0</v>
      </c>
      <c r="AB156" s="56" t="e">
        <f t="shared" si="59"/>
        <v>#REF!</v>
      </c>
      <c r="AC156" s="56" t="e">
        <f t="shared" si="70"/>
        <v>#REF!</v>
      </c>
      <c r="AD156" s="56" t="e">
        <f t="shared" si="70"/>
        <v>#REF!</v>
      </c>
    </row>
    <row r="157" spans="1:30">
      <c r="A157" s="58" t="str">
        <f t="shared" si="57"/>
        <v>Fund 40030 Cable Communications</v>
      </c>
      <c r="B157" s="62" t="str">
        <f t="shared" ref="B157:C157" si="73">B29</f>
        <v>105</v>
      </c>
      <c r="C157" s="62" t="str">
        <f t="shared" si="73"/>
        <v xml:space="preserve">40030 </v>
      </c>
      <c r="D157" s="62"/>
      <c r="E157" s="62"/>
      <c r="F157" s="56">
        <f t="shared" ref="F157:Z157" si="74">F29/1000000*$K$2/F$2</f>
        <v>3.4184765922050069</v>
      </c>
      <c r="G157" s="56"/>
      <c r="H157" s="56">
        <f t="shared" si="74"/>
        <v>3.0974087555336935</v>
      </c>
      <c r="I157" s="56">
        <f t="shared" si="74"/>
        <v>3.0974087555336935</v>
      </c>
      <c r="J157" s="56">
        <f t="shared" si="74"/>
        <v>4.1456650000000002</v>
      </c>
      <c r="K157" s="56">
        <f t="shared" si="74"/>
        <v>4.1456650000000002</v>
      </c>
      <c r="L157" s="56">
        <f t="shared" si="74"/>
        <v>4.3397333346943379</v>
      </c>
      <c r="M157" s="56">
        <f t="shared" si="74"/>
        <v>7.1157219212987277</v>
      </c>
      <c r="N157" s="56">
        <f t="shared" si="74"/>
        <v>2.8725431241654231</v>
      </c>
      <c r="O157" s="56">
        <f t="shared" si="74"/>
        <v>2.1840446507900113</v>
      </c>
      <c r="P157" s="56">
        <f t="shared" si="74"/>
        <v>5.7430256110942803</v>
      </c>
      <c r="Q157" s="56">
        <f t="shared" si="74"/>
        <v>2.7821873628351672</v>
      </c>
      <c r="R157" s="56">
        <f t="shared" si="74"/>
        <v>2.7494310180362236</v>
      </c>
      <c r="S157" s="56">
        <f t="shared" si="74"/>
        <v>2.471059388243221</v>
      </c>
      <c r="T157" s="56">
        <f t="shared" si="74"/>
        <v>2.0200080108789895</v>
      </c>
      <c r="U157" s="56">
        <f t="shared" si="74"/>
        <v>1.749704600802894</v>
      </c>
      <c r="V157" s="56">
        <f t="shared" si="74"/>
        <v>1.8858248643514495</v>
      </c>
      <c r="W157" s="56">
        <f t="shared" si="74"/>
        <v>2.1246959104113396</v>
      </c>
      <c r="X157" s="56">
        <f t="shared" si="74"/>
        <v>2.2507981786184832</v>
      </c>
      <c r="Y157" s="56">
        <f t="shared" si="74"/>
        <v>2.0900421571428578</v>
      </c>
      <c r="Z157" s="56">
        <f t="shared" si="74"/>
        <v>2.0973744417767111</v>
      </c>
      <c r="AB157" s="56" t="e">
        <f t="shared" si="59"/>
        <v>#REF!</v>
      </c>
      <c r="AC157" s="56" t="e">
        <f t="shared" si="70"/>
        <v>#REF!</v>
      </c>
      <c r="AD157" s="56" t="e">
        <f t="shared" si="70"/>
        <v>#REF!</v>
      </c>
    </row>
    <row r="158" spans="1:30">
      <c r="A158" s="58" t="str">
        <f t="shared" si="57"/>
        <v>Fund 40040 Fairfax-Falls Church
Community Services Board</v>
      </c>
      <c r="B158" s="62" t="str">
        <f t="shared" ref="B158:C158" si="75">B30</f>
        <v>106</v>
      </c>
      <c r="C158" s="62" t="str">
        <f t="shared" si="75"/>
        <v>40040</v>
      </c>
      <c r="D158" s="62"/>
      <c r="E158" s="62"/>
      <c r="F158" s="56">
        <f t="shared" ref="F158:Z158" si="76">F30/1000000*$K$2/F$2</f>
        <v>0</v>
      </c>
      <c r="G158" s="56"/>
      <c r="H158" s="56">
        <f t="shared" si="76"/>
        <v>3.9350713231677323</v>
      </c>
      <c r="I158" s="56">
        <f t="shared" si="76"/>
        <v>0</v>
      </c>
      <c r="J158" s="56">
        <f t="shared" si="76"/>
        <v>0</v>
      </c>
      <c r="K158" s="56">
        <f t="shared" si="76"/>
        <v>0</v>
      </c>
      <c r="L158" s="56">
        <f t="shared" si="76"/>
        <v>0</v>
      </c>
      <c r="M158" s="56">
        <f t="shared" si="76"/>
        <v>0</v>
      </c>
      <c r="N158" s="56">
        <f t="shared" si="76"/>
        <v>1.3995827930240399</v>
      </c>
      <c r="O158" s="56">
        <f t="shared" si="76"/>
        <v>0</v>
      </c>
      <c r="P158" s="56">
        <f t="shared" si="76"/>
        <v>0</v>
      </c>
      <c r="Q158" s="56">
        <f t="shared" si="76"/>
        <v>0</v>
      </c>
      <c r="R158" s="56">
        <f t="shared" si="76"/>
        <v>0</v>
      </c>
      <c r="S158" s="56">
        <f t="shared" si="76"/>
        <v>0</v>
      </c>
      <c r="T158" s="56">
        <f t="shared" si="76"/>
        <v>0</v>
      </c>
      <c r="U158" s="56">
        <f t="shared" si="76"/>
        <v>0</v>
      </c>
      <c r="V158" s="56">
        <f t="shared" si="76"/>
        <v>0</v>
      </c>
      <c r="W158" s="56">
        <f t="shared" si="76"/>
        <v>0</v>
      </c>
      <c r="X158" s="56">
        <f t="shared" si="76"/>
        <v>0</v>
      </c>
      <c r="Y158" s="56">
        <f t="shared" si="76"/>
        <v>0</v>
      </c>
      <c r="Z158" s="56">
        <f t="shared" si="76"/>
        <v>0</v>
      </c>
      <c r="AB158" s="56" t="e">
        <f t="shared" si="59"/>
        <v>#REF!</v>
      </c>
      <c r="AC158" s="56" t="e">
        <f t="shared" si="70"/>
        <v>#REF!</v>
      </c>
      <c r="AD158" s="56" t="e">
        <f t="shared" si="70"/>
        <v>#REF!</v>
      </c>
    </row>
    <row r="159" spans="1:30">
      <c r="A159" s="58" t="str">
        <f t="shared" si="57"/>
        <v>Fund 40080 Integrated Pest Management</v>
      </c>
      <c r="B159" s="62" t="str">
        <f t="shared" ref="B159:C159" si="77">B31</f>
        <v>116</v>
      </c>
      <c r="C159" s="62" t="str">
        <f t="shared" si="77"/>
        <v xml:space="preserve">40080 </v>
      </c>
      <c r="D159" s="62"/>
      <c r="E159" s="62"/>
      <c r="F159" s="56">
        <f t="shared" ref="F159:Z159" si="78">F31/1000000*$K$2/F$2</f>
        <v>0.13645967943105022</v>
      </c>
      <c r="G159" s="56"/>
      <c r="H159" s="56">
        <f t="shared" si="78"/>
        <v>0.13575996064928678</v>
      </c>
      <c r="I159" s="56">
        <f t="shared" si="78"/>
        <v>0.13575996064928678</v>
      </c>
      <c r="J159" s="56">
        <f t="shared" si="78"/>
        <v>0.13800000000000001</v>
      </c>
      <c r="K159" s="56">
        <f t="shared" si="78"/>
        <v>0.13800000000000001</v>
      </c>
      <c r="L159" s="56">
        <f t="shared" si="78"/>
        <v>0</v>
      </c>
      <c r="M159" s="56">
        <f t="shared" si="78"/>
        <v>0</v>
      </c>
      <c r="N159" s="56">
        <f t="shared" si="78"/>
        <v>0</v>
      </c>
      <c r="O159" s="56">
        <f t="shared" si="78"/>
        <v>0</v>
      </c>
      <c r="P159" s="56">
        <f t="shared" si="78"/>
        <v>0</v>
      </c>
      <c r="Q159" s="56">
        <f t="shared" si="78"/>
        <v>0</v>
      </c>
      <c r="R159" s="56">
        <f t="shared" si="78"/>
        <v>0</v>
      </c>
      <c r="S159" s="56">
        <f t="shared" si="78"/>
        <v>0</v>
      </c>
      <c r="T159" s="56">
        <f t="shared" si="78"/>
        <v>0</v>
      </c>
      <c r="U159" s="56">
        <f t="shared" si="78"/>
        <v>0</v>
      </c>
      <c r="V159" s="56">
        <f t="shared" si="78"/>
        <v>0</v>
      </c>
      <c r="W159" s="56">
        <f t="shared" si="78"/>
        <v>0</v>
      </c>
      <c r="X159" s="56">
        <f t="shared" si="78"/>
        <v>0</v>
      </c>
      <c r="Y159" s="56">
        <f t="shared" si="78"/>
        <v>0</v>
      </c>
      <c r="Z159" s="56">
        <f t="shared" si="78"/>
        <v>0</v>
      </c>
      <c r="AB159" s="56" t="e">
        <f t="shared" si="59"/>
        <v>#REF!</v>
      </c>
      <c r="AC159" s="56" t="e">
        <f t="shared" si="70"/>
        <v>#REF!</v>
      </c>
      <c r="AD159" s="56" t="e">
        <f t="shared" si="70"/>
        <v>#REF!</v>
      </c>
    </row>
    <row r="160" spans="1:30">
      <c r="A160" s="58" t="str">
        <f t="shared" si="57"/>
        <v>Fund 40100 Stormwater Services</v>
      </c>
      <c r="B160" s="62" t="str">
        <f t="shared" ref="B160:C160" si="79">B32</f>
        <v>125</v>
      </c>
      <c r="C160" s="62" t="str">
        <f t="shared" si="79"/>
        <v xml:space="preserve">40100 </v>
      </c>
      <c r="D160" s="62"/>
      <c r="E160" s="62"/>
      <c r="F160" s="56">
        <f t="shared" ref="F160:Z160" si="80">F32/1000000*$K$2/F$2</f>
        <v>1.0887740380136985</v>
      </c>
      <c r="G160" s="56"/>
      <c r="H160" s="56">
        <f t="shared" si="80"/>
        <v>0.98376783079193308</v>
      </c>
      <c r="I160" s="56">
        <f t="shared" si="80"/>
        <v>0.98376783079193308</v>
      </c>
      <c r="J160" s="56">
        <f t="shared" si="80"/>
        <v>1</v>
      </c>
      <c r="K160" s="56">
        <f t="shared" si="80"/>
        <v>1</v>
      </c>
      <c r="L160" s="56">
        <f t="shared" si="80"/>
        <v>0</v>
      </c>
      <c r="M160" s="56">
        <f t="shared" si="80"/>
        <v>0</v>
      </c>
      <c r="N160" s="56">
        <f t="shared" si="80"/>
        <v>0</v>
      </c>
      <c r="O160" s="56">
        <f t="shared" si="80"/>
        <v>0</v>
      </c>
      <c r="P160" s="56">
        <f t="shared" si="80"/>
        <v>0</v>
      </c>
      <c r="Q160" s="56">
        <f t="shared" si="80"/>
        <v>0</v>
      </c>
      <c r="R160" s="56">
        <f t="shared" si="80"/>
        <v>0</v>
      </c>
      <c r="S160" s="56">
        <f t="shared" si="80"/>
        <v>0</v>
      </c>
      <c r="T160" s="56">
        <f t="shared" si="80"/>
        <v>0</v>
      </c>
      <c r="U160" s="56">
        <f t="shared" si="80"/>
        <v>0</v>
      </c>
      <c r="V160" s="56">
        <f t="shared" si="80"/>
        <v>0</v>
      </c>
      <c r="W160" s="56">
        <f t="shared" si="80"/>
        <v>0</v>
      </c>
      <c r="X160" s="56">
        <f t="shared" si="80"/>
        <v>0</v>
      </c>
      <c r="Y160" s="56">
        <f t="shared" si="80"/>
        <v>0</v>
      </c>
      <c r="Z160" s="56">
        <f t="shared" si="80"/>
        <v>0</v>
      </c>
      <c r="AB160" s="56" t="e">
        <f t="shared" si="59"/>
        <v>#REF!</v>
      </c>
      <c r="AC160" s="56" t="e">
        <f t="shared" si="70"/>
        <v>#REF!</v>
      </c>
      <c r="AD160" s="56" t="e">
        <f t="shared" si="70"/>
        <v>#REF!</v>
      </c>
    </row>
    <row r="161" spans="1:30">
      <c r="A161" s="58" t="str">
        <f t="shared" si="57"/>
        <v>Fund 40140 Refuse Collection and Recycling Operations</v>
      </c>
      <c r="B161" s="62" t="str">
        <f t="shared" ref="B161:C161" si="81">B33</f>
        <v>109</v>
      </c>
      <c r="C161" s="62" t="str">
        <f t="shared" si="81"/>
        <v xml:space="preserve">40140 </v>
      </c>
      <c r="D161" s="62"/>
      <c r="E161" s="62"/>
      <c r="F161" s="56">
        <f t="shared" ref="F161:Z161" si="82">F33/1000000*$K$2/F$2</f>
        <v>0.53035393140578391</v>
      </c>
      <c r="G161" s="56"/>
      <c r="H161" s="56">
        <f t="shared" si="82"/>
        <v>0.52631578947368429</v>
      </c>
      <c r="I161" s="56">
        <f t="shared" si="82"/>
        <v>0.52631578947368429</v>
      </c>
      <c r="J161" s="56">
        <f t="shared" si="82"/>
        <v>0.53500000000000003</v>
      </c>
      <c r="K161" s="56">
        <f t="shared" si="82"/>
        <v>0.53500000000000003</v>
      </c>
      <c r="L161" s="56">
        <f t="shared" si="82"/>
        <v>0</v>
      </c>
      <c r="M161" s="56">
        <f t="shared" si="82"/>
        <v>0</v>
      </c>
      <c r="N161" s="56">
        <f t="shared" si="82"/>
        <v>0</v>
      </c>
      <c r="O161" s="56">
        <f t="shared" si="82"/>
        <v>0</v>
      </c>
      <c r="P161" s="56">
        <f t="shared" si="82"/>
        <v>0</v>
      </c>
      <c r="Q161" s="56">
        <f t="shared" si="82"/>
        <v>0</v>
      </c>
      <c r="R161" s="56">
        <f t="shared" si="82"/>
        <v>0</v>
      </c>
      <c r="S161" s="56">
        <f t="shared" si="82"/>
        <v>0</v>
      </c>
      <c r="T161" s="56">
        <f t="shared" si="82"/>
        <v>0</v>
      </c>
      <c r="U161" s="56">
        <f t="shared" si="82"/>
        <v>0</v>
      </c>
      <c r="V161" s="56">
        <f t="shared" si="82"/>
        <v>0</v>
      </c>
      <c r="W161" s="56">
        <f t="shared" si="82"/>
        <v>0</v>
      </c>
      <c r="X161" s="56">
        <f t="shared" si="82"/>
        <v>0</v>
      </c>
      <c r="Y161" s="56">
        <f t="shared" si="82"/>
        <v>0</v>
      </c>
      <c r="Z161" s="56">
        <f t="shared" si="82"/>
        <v>0</v>
      </c>
      <c r="AB161" s="56" t="e">
        <f t="shared" si="59"/>
        <v>#REF!</v>
      </c>
      <c r="AC161" s="56" t="e">
        <f t="shared" si="70"/>
        <v>#REF!</v>
      </c>
      <c r="AD161" s="56" t="e">
        <f t="shared" si="70"/>
        <v>#REF!</v>
      </c>
    </row>
    <row r="162" spans="1:30">
      <c r="A162" s="58" t="str">
        <f t="shared" si="57"/>
        <v>Fund 40150 Refuse Disposal</v>
      </c>
      <c r="B162" s="62" t="str">
        <f t="shared" ref="B162:C162" si="83">B34</f>
        <v>110</v>
      </c>
      <c r="C162" s="62" t="str">
        <f t="shared" si="83"/>
        <v xml:space="preserve">40150 </v>
      </c>
      <c r="D162" s="62"/>
      <c r="E162" s="62"/>
      <c r="F162" s="56">
        <f t="shared" ref="F162:Z162" si="84">F34/1000000*$K$2/F$2</f>
        <v>0.55842010660791475</v>
      </c>
      <c r="G162" s="56"/>
      <c r="H162" s="56">
        <f t="shared" si="84"/>
        <v>0.52631578947368429</v>
      </c>
      <c r="I162" s="56">
        <f t="shared" si="84"/>
        <v>0.52631578947368429</v>
      </c>
      <c r="J162" s="56">
        <f t="shared" si="84"/>
        <v>0.53500000000000003</v>
      </c>
      <c r="K162" s="56">
        <f t="shared" si="84"/>
        <v>0.53500000000000003</v>
      </c>
      <c r="L162" s="56">
        <f t="shared" si="84"/>
        <v>2.5405555744352051</v>
      </c>
      <c r="M162" s="56">
        <f t="shared" si="84"/>
        <v>0</v>
      </c>
      <c r="N162" s="56">
        <f t="shared" si="84"/>
        <v>0</v>
      </c>
      <c r="O162" s="56">
        <f t="shared" si="84"/>
        <v>0</v>
      </c>
      <c r="P162" s="56">
        <f t="shared" si="84"/>
        <v>0</v>
      </c>
      <c r="Q162" s="56">
        <f t="shared" si="84"/>
        <v>0</v>
      </c>
      <c r="R162" s="56">
        <f t="shared" si="84"/>
        <v>0</v>
      </c>
      <c r="S162" s="56">
        <f t="shared" si="84"/>
        <v>0</v>
      </c>
      <c r="T162" s="56">
        <f t="shared" si="84"/>
        <v>0</v>
      </c>
      <c r="U162" s="56">
        <f t="shared" si="84"/>
        <v>0</v>
      </c>
      <c r="V162" s="56">
        <f t="shared" si="84"/>
        <v>0</v>
      </c>
      <c r="W162" s="56">
        <f t="shared" si="84"/>
        <v>0</v>
      </c>
      <c r="X162" s="56">
        <f t="shared" si="84"/>
        <v>0</v>
      </c>
      <c r="Y162" s="56">
        <f t="shared" si="84"/>
        <v>0</v>
      </c>
      <c r="Z162" s="56">
        <f t="shared" si="84"/>
        <v>0</v>
      </c>
      <c r="AB162" s="56" t="e">
        <f t="shared" si="59"/>
        <v>#REF!</v>
      </c>
      <c r="AC162" s="56" t="e">
        <f t="shared" si="70"/>
        <v>#REF!</v>
      </c>
      <c r="AD162" s="56" t="e">
        <f t="shared" si="70"/>
        <v>#REF!</v>
      </c>
    </row>
    <row r="163" spans="1:30">
      <c r="A163" s="58" t="str">
        <f t="shared" si="57"/>
        <v>Fund 40160 Energy Resource Recovery (ERR) Facility</v>
      </c>
      <c r="B163" s="62" t="str">
        <f t="shared" ref="B163:C163" si="85">B35</f>
        <v>112</v>
      </c>
      <c r="C163" s="62" t="str">
        <f t="shared" si="85"/>
        <v xml:space="preserve">40160 </v>
      </c>
      <c r="D163" s="62"/>
      <c r="E163" s="62"/>
      <c r="F163" s="56">
        <f t="shared" ref="F163:Z163" si="86">F35/1000000*$K$2/F$2</f>
        <v>4.7422158100152212E-2</v>
      </c>
      <c r="G163" s="56"/>
      <c r="H163" s="56">
        <f t="shared" si="86"/>
        <v>4.1318248893261189E-2</v>
      </c>
      <c r="I163" s="56">
        <f t="shared" si="86"/>
        <v>4.1318248893261189E-2</v>
      </c>
      <c r="J163" s="56">
        <f t="shared" si="86"/>
        <v>4.2000000000000003E-2</v>
      </c>
      <c r="K163" s="56">
        <f t="shared" si="86"/>
        <v>4.2000000000000003E-2</v>
      </c>
      <c r="L163" s="56">
        <f t="shared" si="86"/>
        <v>0</v>
      </c>
      <c r="M163" s="56">
        <f t="shared" si="86"/>
        <v>0</v>
      </c>
      <c r="N163" s="56">
        <f t="shared" si="86"/>
        <v>0</v>
      </c>
      <c r="O163" s="56">
        <f t="shared" si="86"/>
        <v>0</v>
      </c>
      <c r="P163" s="56">
        <f t="shared" si="86"/>
        <v>0</v>
      </c>
      <c r="Q163" s="56">
        <f t="shared" si="86"/>
        <v>0</v>
      </c>
      <c r="R163" s="56">
        <f t="shared" si="86"/>
        <v>0</v>
      </c>
      <c r="S163" s="56">
        <f t="shared" si="86"/>
        <v>0</v>
      </c>
      <c r="T163" s="56">
        <f t="shared" si="86"/>
        <v>0</v>
      </c>
      <c r="U163" s="56">
        <f t="shared" si="86"/>
        <v>0</v>
      </c>
      <c r="V163" s="56">
        <f t="shared" si="86"/>
        <v>0</v>
      </c>
      <c r="W163" s="56">
        <f t="shared" si="86"/>
        <v>0</v>
      </c>
      <c r="X163" s="56">
        <f t="shared" si="86"/>
        <v>0</v>
      </c>
      <c r="Y163" s="56">
        <f t="shared" si="86"/>
        <v>0</v>
      </c>
      <c r="Z163" s="56">
        <f t="shared" si="86"/>
        <v>0</v>
      </c>
      <c r="AB163" s="56" t="e">
        <f t="shared" si="59"/>
        <v>#REF!</v>
      </c>
      <c r="AC163" s="56" t="e">
        <f t="shared" si="70"/>
        <v>#REF!</v>
      </c>
      <c r="AD163" s="56" t="e">
        <f t="shared" si="70"/>
        <v>#REF!</v>
      </c>
    </row>
    <row r="164" spans="1:30">
      <c r="A164" s="58" t="str">
        <f t="shared" si="57"/>
        <v>Fund 40170 I-95 Refuse Disposal</v>
      </c>
      <c r="B164" s="62" t="str">
        <f t="shared" ref="B164:C164" si="87">B36</f>
        <v>114</v>
      </c>
      <c r="C164" s="62" t="str">
        <f t="shared" si="87"/>
        <v xml:space="preserve">40170 </v>
      </c>
      <c r="D164" s="62"/>
      <c r="E164" s="62"/>
      <c r="F164" s="56">
        <f t="shared" ref="F164:Z164" si="88">F36/1000000*$K$2/F$2</f>
        <v>0.18001064095159816</v>
      </c>
      <c r="G164" s="56"/>
      <c r="H164" s="56">
        <f t="shared" si="88"/>
        <v>0.17215937038858828</v>
      </c>
      <c r="I164" s="56">
        <f t="shared" si="88"/>
        <v>0.17215937038858828</v>
      </c>
      <c r="J164" s="56">
        <f t="shared" si="88"/>
        <v>0.17499999999999999</v>
      </c>
      <c r="K164" s="56">
        <f t="shared" si="88"/>
        <v>0.17499999999999999</v>
      </c>
      <c r="L164" s="56">
        <f t="shared" si="88"/>
        <v>0</v>
      </c>
      <c r="M164" s="56">
        <f t="shared" si="88"/>
        <v>0</v>
      </c>
      <c r="N164" s="56">
        <f t="shared" si="88"/>
        <v>0</v>
      </c>
      <c r="O164" s="56">
        <f t="shared" si="88"/>
        <v>0</v>
      </c>
      <c r="P164" s="56">
        <f t="shared" si="88"/>
        <v>0</v>
      </c>
      <c r="Q164" s="56">
        <f t="shared" si="88"/>
        <v>0</v>
      </c>
      <c r="R164" s="56">
        <f t="shared" si="88"/>
        <v>0</v>
      </c>
      <c r="S164" s="56">
        <f t="shared" si="88"/>
        <v>0</v>
      </c>
      <c r="T164" s="56">
        <f t="shared" si="88"/>
        <v>0</v>
      </c>
      <c r="U164" s="56">
        <f t="shared" si="88"/>
        <v>0</v>
      </c>
      <c r="V164" s="56">
        <f t="shared" si="88"/>
        <v>0</v>
      </c>
      <c r="W164" s="56">
        <f t="shared" si="88"/>
        <v>0</v>
      </c>
      <c r="X164" s="56">
        <f t="shared" si="88"/>
        <v>0</v>
      </c>
      <c r="Y164" s="56">
        <f t="shared" si="88"/>
        <v>0</v>
      </c>
      <c r="Z164" s="56">
        <f t="shared" si="88"/>
        <v>0</v>
      </c>
      <c r="AB164" s="56" t="e">
        <f t="shared" si="59"/>
        <v>#REF!</v>
      </c>
      <c r="AC164" s="56" t="e">
        <f t="shared" si="70"/>
        <v>#REF!</v>
      </c>
      <c r="AD164" s="56" t="e">
        <f t="shared" si="70"/>
        <v>#REF!</v>
      </c>
    </row>
    <row r="165" spans="1:30">
      <c r="A165" s="58" t="str">
        <f t="shared" si="57"/>
        <v>Fund 40300 Housing Trust Fund</v>
      </c>
      <c r="B165" s="62" t="str">
        <f t="shared" ref="B165:C165" si="89">B37</f>
        <v>144</v>
      </c>
      <c r="C165" s="62" t="str">
        <f t="shared" si="89"/>
        <v xml:space="preserve">40300 </v>
      </c>
      <c r="D165" s="62"/>
      <c r="E165" s="62"/>
      <c r="F165" s="56">
        <f t="shared" ref="F165:Z165" si="90">F37/1000000*$K$2/F$2</f>
        <v>0</v>
      </c>
      <c r="G165" s="56"/>
      <c r="H165" s="56">
        <f t="shared" si="90"/>
        <v>0</v>
      </c>
      <c r="I165" s="56">
        <f t="shared" si="90"/>
        <v>0</v>
      </c>
      <c r="J165" s="56">
        <f t="shared" si="90"/>
        <v>0</v>
      </c>
      <c r="K165" s="56">
        <f t="shared" si="90"/>
        <v>0</v>
      </c>
      <c r="L165" s="56">
        <f t="shared" si="90"/>
        <v>0</v>
      </c>
      <c r="M165" s="56">
        <f t="shared" si="90"/>
        <v>0</v>
      </c>
      <c r="N165" s="56">
        <f t="shared" si="90"/>
        <v>0</v>
      </c>
      <c r="O165" s="56">
        <f t="shared" si="90"/>
        <v>0</v>
      </c>
      <c r="P165" s="56">
        <f t="shared" si="90"/>
        <v>1.1034747696978455</v>
      </c>
      <c r="Q165" s="56">
        <f t="shared" si="90"/>
        <v>0</v>
      </c>
      <c r="R165" s="56">
        <f t="shared" si="90"/>
        <v>0</v>
      </c>
      <c r="S165" s="56">
        <f t="shared" si="90"/>
        <v>0</v>
      </c>
      <c r="T165" s="56">
        <f t="shared" si="90"/>
        <v>0</v>
      </c>
      <c r="U165" s="56">
        <f t="shared" si="90"/>
        <v>0</v>
      </c>
      <c r="V165" s="56">
        <f t="shared" si="90"/>
        <v>0</v>
      </c>
      <c r="W165" s="56">
        <f t="shared" si="90"/>
        <v>0</v>
      </c>
      <c r="X165" s="56">
        <f t="shared" si="90"/>
        <v>0</v>
      </c>
      <c r="Y165" s="56">
        <f t="shared" si="90"/>
        <v>0</v>
      </c>
      <c r="Z165" s="56">
        <f t="shared" si="90"/>
        <v>0</v>
      </c>
      <c r="AB165" s="56" t="e">
        <f t="shared" si="59"/>
        <v>#REF!</v>
      </c>
      <c r="AC165" s="56" t="e">
        <f t="shared" si="70"/>
        <v>#REF!</v>
      </c>
      <c r="AD165" s="56" t="e">
        <f t="shared" si="70"/>
        <v>#REF!</v>
      </c>
    </row>
    <row r="166" spans="1:30">
      <c r="A166" s="58" t="str">
        <f t="shared" si="57"/>
        <v>Fund 60010 Department of Vehicle Services</v>
      </c>
      <c r="B166" s="62" t="str">
        <f t="shared" ref="B166:C166" si="91">B38</f>
        <v>503</v>
      </c>
      <c r="C166" s="62" t="str">
        <f t="shared" si="91"/>
        <v>60010</v>
      </c>
      <c r="D166" s="62"/>
      <c r="E166" s="62"/>
      <c r="F166" s="56">
        <f t="shared" ref="F166:Z166" si="92">F38/1000000*$K$2/F$2</f>
        <v>0</v>
      </c>
      <c r="G166" s="56"/>
      <c r="H166" s="56">
        <f t="shared" si="92"/>
        <v>0</v>
      </c>
      <c r="I166" s="56">
        <f t="shared" si="92"/>
        <v>0</v>
      </c>
      <c r="J166" s="56">
        <f t="shared" si="92"/>
        <v>1.224931</v>
      </c>
      <c r="K166" s="56">
        <f t="shared" si="92"/>
        <v>1.224931</v>
      </c>
      <c r="L166" s="56">
        <f t="shared" si="92"/>
        <v>0</v>
      </c>
      <c r="M166" s="56">
        <f t="shared" si="92"/>
        <v>0</v>
      </c>
      <c r="N166" s="56">
        <f t="shared" si="92"/>
        <v>4.2097811630551965</v>
      </c>
      <c r="O166" s="56">
        <f t="shared" si="92"/>
        <v>2.1713336635237432</v>
      </c>
      <c r="P166" s="56">
        <f t="shared" si="92"/>
        <v>4.1380303863669212</v>
      </c>
      <c r="Q166" s="56">
        <f t="shared" si="92"/>
        <v>0</v>
      </c>
      <c r="R166" s="56">
        <f t="shared" si="92"/>
        <v>0</v>
      </c>
      <c r="S166" s="56">
        <f t="shared" si="92"/>
        <v>0.58714327050264559</v>
      </c>
      <c r="T166" s="56">
        <f t="shared" si="92"/>
        <v>0</v>
      </c>
      <c r="U166" s="56">
        <f t="shared" si="92"/>
        <v>0</v>
      </c>
      <c r="V166" s="56">
        <f t="shared" si="92"/>
        <v>0.97782329710144944</v>
      </c>
      <c r="W166" s="56">
        <f t="shared" si="92"/>
        <v>0</v>
      </c>
      <c r="X166" s="56">
        <f t="shared" si="92"/>
        <v>0</v>
      </c>
      <c r="Y166" s="56">
        <f t="shared" si="92"/>
        <v>0</v>
      </c>
      <c r="Z166" s="56">
        <f t="shared" si="92"/>
        <v>3.1261678671468598</v>
      </c>
      <c r="AB166" s="56" t="e">
        <f t="shared" si="59"/>
        <v>#REF!</v>
      </c>
      <c r="AC166" s="56" t="e">
        <f t="shared" si="70"/>
        <v>#REF!</v>
      </c>
      <c r="AD166" s="56" t="e">
        <f t="shared" si="70"/>
        <v>#REF!</v>
      </c>
    </row>
    <row r="167" spans="1:30">
      <c r="A167" s="58" t="str">
        <f t="shared" si="57"/>
        <v>Fund 60020 Document Services</v>
      </c>
      <c r="B167" s="62" t="str">
        <f t="shared" ref="B167:C167" si="93">B39</f>
        <v>504</v>
      </c>
      <c r="C167" s="62" t="str">
        <f t="shared" si="93"/>
        <v>60020</v>
      </c>
      <c r="D167" s="62"/>
      <c r="E167" s="62"/>
      <c r="F167" s="56">
        <f t="shared" ref="F167:Z167" si="94">F39/1000000*$K$2/F$2</f>
        <v>0</v>
      </c>
      <c r="G167" s="56"/>
      <c r="H167" s="56">
        <f t="shared" si="94"/>
        <v>0</v>
      </c>
      <c r="I167" s="56">
        <f t="shared" si="94"/>
        <v>0</v>
      </c>
      <c r="J167" s="56">
        <f t="shared" si="94"/>
        <v>0</v>
      </c>
      <c r="K167" s="56">
        <f t="shared" si="94"/>
        <v>0</v>
      </c>
      <c r="L167" s="56">
        <f t="shared" si="94"/>
        <v>0</v>
      </c>
      <c r="M167" s="56">
        <f t="shared" si="94"/>
        <v>0</v>
      </c>
      <c r="N167" s="56">
        <f t="shared" si="94"/>
        <v>0</v>
      </c>
      <c r="O167" s="56">
        <f t="shared" si="94"/>
        <v>0</v>
      </c>
      <c r="P167" s="56">
        <f t="shared" si="94"/>
        <v>0</v>
      </c>
      <c r="Q167" s="56">
        <f t="shared" si="94"/>
        <v>0</v>
      </c>
      <c r="R167" s="56">
        <f t="shared" si="94"/>
        <v>0</v>
      </c>
      <c r="S167" s="56">
        <f t="shared" si="94"/>
        <v>3.0582026587458668</v>
      </c>
      <c r="T167" s="56">
        <f t="shared" si="94"/>
        <v>2.0200080108789895</v>
      </c>
      <c r="U167" s="56">
        <f t="shared" si="94"/>
        <v>1.749704600802894</v>
      </c>
      <c r="V167" s="56">
        <f t="shared" si="94"/>
        <v>2.1872363224637685</v>
      </c>
      <c r="W167" s="56">
        <f t="shared" si="94"/>
        <v>3.9477959977765429</v>
      </c>
      <c r="X167" s="56">
        <f t="shared" si="94"/>
        <v>0</v>
      </c>
      <c r="Y167" s="56">
        <f t="shared" si="94"/>
        <v>0</v>
      </c>
      <c r="Z167" s="56">
        <f t="shared" si="94"/>
        <v>0.75278690635054035</v>
      </c>
      <c r="AB167" s="56" t="e">
        <f t="shared" si="59"/>
        <v>#REF!</v>
      </c>
      <c r="AC167" s="56" t="e">
        <f t="shared" si="70"/>
        <v>#REF!</v>
      </c>
      <c r="AD167" s="56" t="e">
        <f t="shared" si="70"/>
        <v>#REF!</v>
      </c>
    </row>
    <row r="168" spans="1:30">
      <c r="A168" s="58" t="str">
        <f t="shared" si="57"/>
        <v>Fund 60030 Technology Infrastructure Services</v>
      </c>
      <c r="B168" s="62" t="str">
        <f t="shared" ref="B168:C168" si="95">B40</f>
        <v>505</v>
      </c>
      <c r="C168" s="62" t="str">
        <f t="shared" si="95"/>
        <v xml:space="preserve">60030 </v>
      </c>
      <c r="D168" s="62"/>
      <c r="E168" s="62"/>
      <c r="F168" s="56">
        <f t="shared" ref="F168:Z168" si="96">F40/1000000*$K$2/F$2</f>
        <v>0</v>
      </c>
      <c r="G168" s="56"/>
      <c r="H168" s="56">
        <f t="shared" si="96"/>
        <v>0</v>
      </c>
      <c r="I168" s="56">
        <f t="shared" si="96"/>
        <v>0</v>
      </c>
      <c r="J168" s="56">
        <f t="shared" si="96"/>
        <v>1.5</v>
      </c>
      <c r="K168" s="56">
        <f t="shared" si="96"/>
        <v>1.5</v>
      </c>
      <c r="L168" s="56">
        <f t="shared" si="96"/>
        <v>0</v>
      </c>
      <c r="M168" s="56">
        <f t="shared" si="96"/>
        <v>0</v>
      </c>
      <c r="N168" s="56">
        <f t="shared" si="96"/>
        <v>0</v>
      </c>
      <c r="O168" s="56">
        <f t="shared" si="96"/>
        <v>5.0054050448286986</v>
      </c>
      <c r="P168" s="56">
        <f t="shared" si="96"/>
        <v>0.11034747696978456</v>
      </c>
      <c r="Q168" s="56">
        <f t="shared" si="96"/>
        <v>0</v>
      </c>
      <c r="R168" s="56">
        <f t="shared" si="96"/>
        <v>0</v>
      </c>
      <c r="S168" s="56">
        <f t="shared" si="96"/>
        <v>0</v>
      </c>
      <c r="T168" s="56">
        <f t="shared" si="96"/>
        <v>0</v>
      </c>
      <c r="U168" s="56">
        <f t="shared" si="96"/>
        <v>0</v>
      </c>
      <c r="V168" s="56">
        <f t="shared" si="96"/>
        <v>0</v>
      </c>
      <c r="W168" s="56">
        <f t="shared" si="96"/>
        <v>0</v>
      </c>
      <c r="X168" s="56">
        <f t="shared" si="96"/>
        <v>0</v>
      </c>
      <c r="Y168" s="56">
        <f t="shared" si="96"/>
        <v>0</v>
      </c>
      <c r="Z168" s="56">
        <f t="shared" si="96"/>
        <v>0</v>
      </c>
      <c r="AB168" s="56" t="e">
        <f t="shared" si="59"/>
        <v>#REF!</v>
      </c>
      <c r="AC168" s="56" t="e">
        <f t="shared" si="70"/>
        <v>#REF!</v>
      </c>
      <c r="AD168" s="56" t="e">
        <f t="shared" si="70"/>
        <v>#REF!</v>
      </c>
    </row>
    <row r="169" spans="1:30">
      <c r="A169" s="58" t="str">
        <f t="shared" si="57"/>
        <v>Fund 69010 Sewer Operation and Maintenance</v>
      </c>
      <c r="B169" s="62" t="str">
        <f t="shared" ref="B169:C169" si="97">B41</f>
        <v>401</v>
      </c>
      <c r="C169" s="62" t="str">
        <f t="shared" si="97"/>
        <v xml:space="preserve">69010 </v>
      </c>
      <c r="D169" s="62"/>
      <c r="E169" s="62"/>
      <c r="F169" s="56">
        <f t="shared" ref="F169:Z169" si="98">F41/1000000*$K$2/F$2</f>
        <v>2.7582275629680368</v>
      </c>
      <c r="G169" s="56"/>
      <c r="H169" s="56">
        <f t="shared" si="98"/>
        <v>1.7707820954254796</v>
      </c>
      <c r="I169" s="56">
        <f t="shared" si="98"/>
        <v>1.7707820954254796</v>
      </c>
      <c r="J169" s="56">
        <f t="shared" si="98"/>
        <v>1.8</v>
      </c>
      <c r="K169" s="56">
        <f t="shared" si="98"/>
        <v>1.8</v>
      </c>
      <c r="L169" s="56">
        <f t="shared" si="98"/>
        <v>0</v>
      </c>
      <c r="M169" s="56">
        <f t="shared" si="98"/>
        <v>0</v>
      </c>
      <c r="N169" s="56">
        <f t="shared" si="98"/>
        <v>0</v>
      </c>
      <c r="O169" s="56">
        <f t="shared" si="98"/>
        <v>0</v>
      </c>
      <c r="P169" s="56">
        <f t="shared" si="98"/>
        <v>0</v>
      </c>
      <c r="Q169" s="56">
        <f t="shared" si="98"/>
        <v>0</v>
      </c>
      <c r="R169" s="56">
        <f t="shared" si="98"/>
        <v>0</v>
      </c>
      <c r="S169" s="56">
        <f t="shared" si="98"/>
        <v>0</v>
      </c>
      <c r="T169" s="56">
        <f t="shared" si="98"/>
        <v>0</v>
      </c>
      <c r="U169" s="56">
        <f t="shared" si="98"/>
        <v>0</v>
      </c>
      <c r="V169" s="56">
        <f t="shared" si="98"/>
        <v>0</v>
      </c>
      <c r="W169" s="56">
        <f t="shared" si="98"/>
        <v>0</v>
      </c>
      <c r="X169" s="56">
        <f t="shared" si="98"/>
        <v>0</v>
      </c>
      <c r="Y169" s="56">
        <f t="shared" si="98"/>
        <v>0</v>
      </c>
      <c r="Z169" s="56">
        <f t="shared" si="98"/>
        <v>0</v>
      </c>
      <c r="AB169" s="56" t="e">
        <f t="shared" si="59"/>
        <v>#REF!</v>
      </c>
      <c r="AC169" s="56" t="e">
        <f t="shared" si="70"/>
        <v>#REF!</v>
      </c>
      <c r="AD169" s="56" t="e">
        <f t="shared" si="70"/>
        <v>#REF!</v>
      </c>
    </row>
    <row r="170" spans="1:30">
      <c r="A170" s="58" t="str">
        <f t="shared" si="57"/>
        <v>Fund 80000 Park Revenue</v>
      </c>
      <c r="B170" s="62" t="str">
        <f t="shared" ref="B170:C171" si="99">B42</f>
        <v>170</v>
      </c>
      <c r="C170" s="62" t="str">
        <f t="shared" si="99"/>
        <v xml:space="preserve">80000 </v>
      </c>
      <c r="D170" s="62"/>
      <c r="E170" s="62"/>
      <c r="F170" s="56">
        <f t="shared" ref="F170:Z170" si="100">F42/1000000*$K$2/F$2</f>
        <v>0.7935952988188737</v>
      </c>
      <c r="G170" s="56"/>
      <c r="H170" s="56">
        <f t="shared" si="100"/>
        <v>0.76242006886374813</v>
      </c>
      <c r="I170" s="56">
        <f t="shared" si="100"/>
        <v>0.76242006886374813</v>
      </c>
      <c r="J170" s="56">
        <f t="shared" si="100"/>
        <v>0.77500000000000002</v>
      </c>
      <c r="K170" s="56">
        <f t="shared" si="100"/>
        <v>0.77500000000000002</v>
      </c>
      <c r="L170" s="56">
        <f t="shared" si="100"/>
        <v>0</v>
      </c>
      <c r="M170" s="56">
        <f t="shared" si="100"/>
        <v>0</v>
      </c>
      <c r="N170" s="56">
        <f t="shared" si="100"/>
        <v>0</v>
      </c>
      <c r="O170" s="56">
        <f t="shared" si="100"/>
        <v>0</v>
      </c>
      <c r="P170" s="56">
        <f t="shared" si="100"/>
        <v>0</v>
      </c>
      <c r="Q170" s="56">
        <f t="shared" si="100"/>
        <v>0</v>
      </c>
      <c r="R170" s="56">
        <f t="shared" si="100"/>
        <v>0</v>
      </c>
      <c r="S170" s="56">
        <f t="shared" si="100"/>
        <v>0</v>
      </c>
      <c r="T170" s="56">
        <f t="shared" si="100"/>
        <v>0</v>
      </c>
      <c r="U170" s="56">
        <f t="shared" si="100"/>
        <v>0</v>
      </c>
      <c r="V170" s="56">
        <f t="shared" si="100"/>
        <v>0</v>
      </c>
      <c r="W170" s="56">
        <f t="shared" si="100"/>
        <v>0</v>
      </c>
      <c r="X170" s="56">
        <f t="shared" si="100"/>
        <v>0</v>
      </c>
      <c r="Y170" s="56">
        <f t="shared" si="100"/>
        <v>0</v>
      </c>
      <c r="Z170" s="56">
        <f t="shared" si="100"/>
        <v>0</v>
      </c>
      <c r="AB170" s="56" t="e">
        <f t="shared" si="59"/>
        <v>#REF!</v>
      </c>
      <c r="AC170" s="56" t="e">
        <f t="shared" si="70"/>
        <v>#REF!</v>
      </c>
      <c r="AD170" s="56" t="e">
        <f t="shared" si="70"/>
        <v>#REF!</v>
      </c>
    </row>
    <row r="171" spans="1:30">
      <c r="A171" s="58" t="str">
        <f t="shared" si="57"/>
        <v>Fund 30010 County Bond Construction</v>
      </c>
      <c r="B171" s="62" t="str">
        <f t="shared" ref="B171" si="101">B43</f>
        <v>311</v>
      </c>
      <c r="C171" s="63">
        <f t="shared" si="99"/>
        <v>30010</v>
      </c>
      <c r="D171" s="63"/>
      <c r="E171" s="63"/>
      <c r="F171" s="56">
        <f t="shared" ref="F171:Z171" si="102">F43/1000000*$K$2/F$2</f>
        <v>0</v>
      </c>
      <c r="G171" s="56"/>
      <c r="H171" s="56">
        <f t="shared" si="102"/>
        <v>0</v>
      </c>
      <c r="I171" s="56">
        <f t="shared" si="102"/>
        <v>0</v>
      </c>
      <c r="J171" s="56">
        <f t="shared" si="102"/>
        <v>0</v>
      </c>
      <c r="K171" s="56">
        <f t="shared" si="102"/>
        <v>0</v>
      </c>
      <c r="L171" s="56">
        <f t="shared" si="102"/>
        <v>0</v>
      </c>
      <c r="M171" s="56">
        <f t="shared" si="102"/>
        <v>0</v>
      </c>
      <c r="N171" s="56">
        <f t="shared" si="102"/>
        <v>0</v>
      </c>
      <c r="O171" s="56">
        <f t="shared" si="102"/>
        <v>0.54283341588093581</v>
      </c>
      <c r="P171" s="56">
        <f t="shared" si="102"/>
        <v>2.7586869242446137</v>
      </c>
      <c r="Q171" s="56">
        <f t="shared" si="102"/>
        <v>0</v>
      </c>
      <c r="R171" s="56">
        <f t="shared" si="102"/>
        <v>0</v>
      </c>
      <c r="S171" s="56">
        <f t="shared" si="102"/>
        <v>0</v>
      </c>
      <c r="T171" s="56">
        <f t="shared" si="102"/>
        <v>0</v>
      </c>
      <c r="U171" s="56">
        <f t="shared" si="102"/>
        <v>0</v>
      </c>
      <c r="V171" s="56">
        <f t="shared" si="102"/>
        <v>0</v>
      </c>
      <c r="W171" s="56">
        <f t="shared" si="102"/>
        <v>0</v>
      </c>
      <c r="X171" s="56">
        <f t="shared" si="102"/>
        <v>0</v>
      </c>
      <c r="Y171" s="56">
        <f t="shared" si="102"/>
        <v>0</v>
      </c>
      <c r="Z171" s="56">
        <f t="shared" si="102"/>
        <v>0</v>
      </c>
      <c r="AB171" s="56" t="e">
        <f t="shared" si="59"/>
        <v>#REF!</v>
      </c>
      <c r="AC171" s="56" t="e">
        <f t="shared" si="70"/>
        <v>#REF!</v>
      </c>
      <c r="AD171" s="56" t="e">
        <f t="shared" si="70"/>
        <v>#REF!</v>
      </c>
    </row>
    <row r="172" spans="1:30">
      <c r="A172" s="58" t="str">
        <f t="shared" si="57"/>
        <v>Fund S10000 Public School Operating</v>
      </c>
      <c r="B172" s="62" t="str">
        <f t="shared" ref="B172:C172" si="103">B44</f>
        <v>090</v>
      </c>
      <c r="C172" s="62" t="str">
        <f t="shared" si="103"/>
        <v>S10000</v>
      </c>
      <c r="D172" s="62"/>
      <c r="E172" s="62"/>
      <c r="F172" s="56">
        <f t="shared" ref="F172:Z172" si="104">F44/1000000*$K$2/F$2</f>
        <v>0</v>
      </c>
      <c r="G172" s="56"/>
      <c r="H172" s="56">
        <f t="shared" si="104"/>
        <v>0</v>
      </c>
      <c r="I172" s="56">
        <f t="shared" si="104"/>
        <v>0</v>
      </c>
      <c r="J172" s="56">
        <f t="shared" si="104"/>
        <v>0</v>
      </c>
      <c r="K172" s="56">
        <f t="shared" si="104"/>
        <v>0</v>
      </c>
      <c r="L172" s="56">
        <f t="shared" si="104"/>
        <v>0</v>
      </c>
      <c r="M172" s="56">
        <f t="shared" si="104"/>
        <v>0</v>
      </c>
      <c r="N172" s="56">
        <f t="shared" si="104"/>
        <v>0</v>
      </c>
      <c r="O172" s="56">
        <f t="shared" si="104"/>
        <v>0</v>
      </c>
      <c r="P172" s="56">
        <f t="shared" si="104"/>
        <v>0</v>
      </c>
      <c r="Q172" s="56">
        <f t="shared" si="104"/>
        <v>0</v>
      </c>
      <c r="R172" s="56">
        <f t="shared" si="104"/>
        <v>0</v>
      </c>
      <c r="S172" s="56">
        <f t="shared" si="104"/>
        <v>0</v>
      </c>
      <c r="T172" s="56">
        <f t="shared" si="104"/>
        <v>0</v>
      </c>
      <c r="U172" s="56">
        <f t="shared" si="104"/>
        <v>0</v>
      </c>
      <c r="V172" s="56">
        <f t="shared" si="104"/>
        <v>0</v>
      </c>
      <c r="W172" s="56">
        <f t="shared" si="104"/>
        <v>0</v>
      </c>
      <c r="X172" s="56">
        <f t="shared" si="104"/>
        <v>0</v>
      </c>
      <c r="Y172" s="56">
        <f t="shared" si="104"/>
        <v>0</v>
      </c>
      <c r="Z172" s="56">
        <f t="shared" si="104"/>
        <v>0</v>
      </c>
      <c r="AB172" s="56" t="e">
        <f t="shared" si="59"/>
        <v>#REF!</v>
      </c>
      <c r="AC172" s="56" t="e">
        <f t="shared" si="70"/>
        <v>#REF!</v>
      </c>
      <c r="AD172" s="56" t="e">
        <f t="shared" si="70"/>
        <v>#REF!</v>
      </c>
    </row>
    <row r="173" spans="1:30">
      <c r="A173" s="61" t="str">
        <f t="shared" si="57"/>
        <v>Total Transfers In</v>
      </c>
      <c r="B173" s="23"/>
      <c r="C173" s="23"/>
      <c r="D173" s="23"/>
      <c r="E173" s="23"/>
      <c r="F173" s="60">
        <f t="shared" ref="F173:Z173" si="105">F45/1000000*$K$2/F$2</f>
        <v>9.511740008502116</v>
      </c>
      <c r="G173" s="60"/>
      <c r="H173" s="60">
        <f t="shared" si="105"/>
        <v>11.951319232661092</v>
      </c>
      <c r="I173" s="60">
        <f t="shared" si="105"/>
        <v>8.0162479094933605</v>
      </c>
      <c r="J173" s="60">
        <f t="shared" si="105"/>
        <v>23.870595999999999</v>
      </c>
      <c r="K173" s="60">
        <f t="shared" si="105"/>
        <v>23.870595999999999</v>
      </c>
      <c r="L173" s="60">
        <f t="shared" si="105"/>
        <v>6.8802889091295434</v>
      </c>
      <c r="M173" s="60">
        <f t="shared" si="105"/>
        <v>7.1157219212987277</v>
      </c>
      <c r="N173" s="60">
        <f t="shared" si="105"/>
        <v>8.4819070802446603</v>
      </c>
      <c r="O173" s="60">
        <f t="shared" si="105"/>
        <v>13.160617270309004</v>
      </c>
      <c r="P173" s="60">
        <f t="shared" si="105"/>
        <v>49.639409746566635</v>
      </c>
      <c r="Q173" s="60">
        <f t="shared" si="105"/>
        <v>2.7821873628351672</v>
      </c>
      <c r="R173" s="60">
        <f t="shared" si="105"/>
        <v>2.7494310180362236</v>
      </c>
      <c r="S173" s="60">
        <f t="shared" si="105"/>
        <v>6.1164053174917337</v>
      </c>
      <c r="T173" s="60">
        <f t="shared" si="105"/>
        <v>4.040016021757979</v>
      </c>
      <c r="U173" s="60">
        <f t="shared" si="105"/>
        <v>3.4994092016057881</v>
      </c>
      <c r="V173" s="60">
        <f t="shared" si="105"/>
        <v>5.0508844839166667</v>
      </c>
      <c r="W173" s="60">
        <f t="shared" si="105"/>
        <v>6.0724919081878825</v>
      </c>
      <c r="X173" s="60">
        <f t="shared" si="105"/>
        <v>2.2507981786184832</v>
      </c>
      <c r="Y173" s="60">
        <f t="shared" si="105"/>
        <v>2.0900421571428578</v>
      </c>
      <c r="Z173" s="60">
        <f t="shared" si="105"/>
        <v>5.9763292152741103</v>
      </c>
      <c r="AB173" s="60" t="e">
        <f t="shared" si="59"/>
        <v>#REF!</v>
      </c>
      <c r="AC173" s="56" t="e">
        <f t="shared" si="70"/>
        <v>#REF!</v>
      </c>
      <c r="AD173" s="56" t="e">
        <f t="shared" si="70"/>
        <v>#REF!</v>
      </c>
    </row>
    <row r="174" spans="1:30">
      <c r="A174" s="58"/>
      <c r="B174" s="23"/>
      <c r="C174" s="23"/>
      <c r="D174" s="23"/>
      <c r="E174" s="23"/>
      <c r="F174" s="56"/>
      <c r="G174" s="56"/>
      <c r="H174" s="56"/>
      <c r="I174" s="56"/>
      <c r="J174" s="56"/>
      <c r="K174" s="56"/>
      <c r="L174" s="56"/>
      <c r="M174" s="56"/>
      <c r="N174" s="56"/>
      <c r="O174" s="56"/>
      <c r="P174" s="56"/>
      <c r="Q174" s="56"/>
      <c r="R174" s="56"/>
      <c r="S174" s="56"/>
      <c r="T174" s="56"/>
      <c r="U174" s="56"/>
      <c r="V174" s="56"/>
      <c r="W174" s="56"/>
      <c r="X174" s="56"/>
      <c r="Y174" s="56"/>
      <c r="Z174" s="56"/>
      <c r="AB174" s="56"/>
      <c r="AC174" s="56" t="e">
        <f t="shared" si="70"/>
        <v>#REF!</v>
      </c>
      <c r="AD174" s="56" t="e">
        <f t="shared" si="70"/>
        <v>#REF!</v>
      </c>
    </row>
    <row r="175" spans="1:30">
      <c r="A175" s="61" t="str">
        <f>A47</f>
        <v>Total Available</v>
      </c>
      <c r="B175" s="23"/>
      <c r="C175" s="23"/>
      <c r="D175" s="23"/>
      <c r="E175" s="23"/>
      <c r="F175" s="60">
        <f t="shared" ref="F175:Z175" si="106">F47/1000000*$K$2/F$2</f>
        <v>3774.9099465315167</v>
      </c>
      <c r="G175" s="60"/>
      <c r="H175" s="60">
        <f t="shared" si="106"/>
        <v>3806.7667112641416</v>
      </c>
      <c r="I175" s="60">
        <f t="shared" si="106"/>
        <v>3736.7330388588293</v>
      </c>
      <c r="J175" s="60">
        <f t="shared" si="106"/>
        <v>3792.786028</v>
      </c>
      <c r="K175" s="60">
        <f t="shared" si="106"/>
        <v>3791.0062360000002</v>
      </c>
      <c r="L175" s="60">
        <f t="shared" si="106"/>
        <v>3774.5593457450227</v>
      </c>
      <c r="M175" s="60">
        <f t="shared" si="106"/>
        <v>3735.5170940475232</v>
      </c>
      <c r="N175" s="60">
        <f t="shared" si="106"/>
        <v>3756.5418203091731</v>
      </c>
      <c r="O175" s="60">
        <f t="shared" si="106"/>
        <v>3852.0731657578035</v>
      </c>
      <c r="P175" s="60">
        <f t="shared" si="106"/>
        <v>3904.1398085730366</v>
      </c>
      <c r="Q175" s="60">
        <f t="shared" si="106"/>
        <v>3829.0015822201103</v>
      </c>
      <c r="R175" s="60">
        <f t="shared" si="106"/>
        <v>3891.0299328596934</v>
      </c>
      <c r="S175" s="60">
        <f t="shared" si="106"/>
        <v>3857.9917719265713</v>
      </c>
      <c r="T175" s="60">
        <f t="shared" si="106"/>
        <v>3623.2617695688709</v>
      </c>
      <c r="U175" s="60">
        <f t="shared" si="106"/>
        <v>3450.9118566024899</v>
      </c>
      <c r="V175" s="60">
        <f t="shared" si="106"/>
        <v>3303.1111880868739</v>
      </c>
      <c r="W175" s="60">
        <f t="shared" si="106"/>
        <v>3143.8889745045353</v>
      </c>
      <c r="X175" s="60">
        <f t="shared" si="106"/>
        <v>2982.986038302683</v>
      </c>
      <c r="Y175" s="60">
        <f t="shared" si="106"/>
        <v>2871.9392364859827</v>
      </c>
      <c r="Z175" s="56">
        <f t="shared" si="106"/>
        <v>2763.4370791205397</v>
      </c>
      <c r="AB175" s="60" t="e">
        <f>AB47/1000000*$K$2/AB$2</f>
        <v>#REF!</v>
      </c>
      <c r="AC175" s="56" t="e">
        <f t="shared" ref="AC175:AD175" si="107">AC47/1000000*$K$2/AC$2</f>
        <v>#REF!</v>
      </c>
      <c r="AD175" s="56" t="e">
        <f t="shared" si="107"/>
        <v>#REF!</v>
      </c>
    </row>
    <row r="176" spans="1:30">
      <c r="A176" s="58"/>
      <c r="B176" s="23"/>
      <c r="C176" s="23"/>
      <c r="D176" s="23"/>
      <c r="E176" s="23"/>
      <c r="F176" s="56"/>
      <c r="G176" s="56"/>
      <c r="H176" s="56"/>
      <c r="I176" s="56"/>
      <c r="J176" s="56"/>
      <c r="K176" s="56"/>
      <c r="L176" s="56"/>
      <c r="M176" s="56"/>
      <c r="N176" s="56"/>
      <c r="O176" s="56"/>
      <c r="P176" s="56"/>
      <c r="Q176" s="56"/>
      <c r="R176" s="56"/>
      <c r="S176" s="56"/>
      <c r="T176" s="56"/>
      <c r="U176" s="56"/>
      <c r="V176" s="56"/>
      <c r="W176" s="56"/>
      <c r="X176" s="56"/>
      <c r="Y176" s="56"/>
      <c r="Z176" s="56"/>
      <c r="AB176" s="56"/>
      <c r="AC176" s="56"/>
      <c r="AD176" s="56"/>
    </row>
    <row r="177" spans="1:30">
      <c r="A177" s="59" t="s">
        <v>526</v>
      </c>
      <c r="B177" s="23"/>
      <c r="C177" s="23"/>
      <c r="D177" s="23"/>
      <c r="E177" s="23"/>
      <c r="F177" s="56"/>
      <c r="G177" s="56"/>
      <c r="H177" s="56"/>
      <c r="I177" s="56"/>
      <c r="J177" s="56"/>
      <c r="K177" s="56"/>
      <c r="L177" s="56"/>
      <c r="M177" s="56"/>
      <c r="N177" s="56"/>
      <c r="O177" s="56"/>
      <c r="P177" s="56"/>
      <c r="Q177" s="56"/>
      <c r="R177" s="56"/>
      <c r="S177" s="56"/>
      <c r="T177" s="56"/>
      <c r="U177" s="56"/>
      <c r="V177" s="56"/>
      <c r="W177" s="56"/>
      <c r="X177" s="56"/>
      <c r="Y177" s="56"/>
      <c r="Z177" s="56"/>
      <c r="AB177" s="56"/>
      <c r="AC177" s="56"/>
      <c r="AD177" s="56"/>
    </row>
    <row r="178" spans="1:30">
      <c r="A178" s="58" t="str">
        <f t="shared" ref="A178:A183" si="108">A50</f>
        <v>Personnel Services</v>
      </c>
      <c r="B178" s="23"/>
      <c r="C178" s="23"/>
      <c r="D178" s="23"/>
      <c r="E178" s="23"/>
      <c r="F178" s="56">
        <f t="shared" ref="F178:Z178" si="109">F50/1000000*$K$2/F$2</f>
        <v>745.28067602705869</v>
      </c>
      <c r="G178" s="56"/>
      <c r="H178" s="56">
        <f t="shared" si="109"/>
        <v>738.82334972946376</v>
      </c>
      <c r="I178" s="56">
        <f t="shared" si="109"/>
        <v>739.85801770782109</v>
      </c>
      <c r="J178" s="56">
        <f t="shared" si="109"/>
        <v>712.590507</v>
      </c>
      <c r="K178" s="56">
        <f t="shared" si="109"/>
        <v>731.82869300000004</v>
      </c>
      <c r="L178" s="56">
        <f t="shared" si="109"/>
        <v>706.91942663400232</v>
      </c>
      <c r="M178" s="56">
        <f t="shared" si="109"/>
        <v>696.2911296482913</v>
      </c>
      <c r="N178" s="56">
        <f t="shared" si="109"/>
        <v>695.41070981064297</v>
      </c>
      <c r="O178" s="56">
        <f t="shared" si="109"/>
        <v>731.38535979865651</v>
      </c>
      <c r="P178" s="56">
        <f t="shared" si="109"/>
        <v>766.59330094116092</v>
      </c>
      <c r="Q178" s="56">
        <f t="shared" si="109"/>
        <v>750.69858493534457</v>
      </c>
      <c r="R178" s="56">
        <f t="shared" si="109"/>
        <v>739.54641382988655</v>
      </c>
      <c r="S178" s="56">
        <f t="shared" si="109"/>
        <v>703.84589259203449</v>
      </c>
      <c r="T178" s="56">
        <f t="shared" si="109"/>
        <v>670.17129159997273</v>
      </c>
      <c r="U178" s="56">
        <f t="shared" si="109"/>
        <v>659.06964683350543</v>
      </c>
      <c r="V178" s="56">
        <f t="shared" si="109"/>
        <v>650.70801798846662</v>
      </c>
      <c r="W178" s="56">
        <f t="shared" si="109"/>
        <v>628.632431788541</v>
      </c>
      <c r="X178" s="56">
        <f t="shared" si="109"/>
        <v>602.74722214121778</v>
      </c>
      <c r="Y178" s="56">
        <f t="shared" si="109"/>
        <v>574.68994409234517</v>
      </c>
      <c r="Z178" s="56">
        <f t="shared" si="109"/>
        <v>545.61340295896366</v>
      </c>
      <c r="AB178" s="56" t="e">
        <f t="shared" ref="AB178:AD183" si="110">AB50/1000000*$K$2/AB$2</f>
        <v>#REF!</v>
      </c>
      <c r="AC178" s="56" t="e">
        <f t="shared" si="110"/>
        <v>#REF!</v>
      </c>
      <c r="AD178" s="56" t="e">
        <f t="shared" si="110"/>
        <v>#REF!</v>
      </c>
    </row>
    <row r="179" spans="1:30">
      <c r="A179" s="58" t="str">
        <f t="shared" si="108"/>
        <v>Operating Expenses</v>
      </c>
      <c r="B179" s="23"/>
      <c r="C179" s="23"/>
      <c r="D179" s="23"/>
      <c r="E179" s="23"/>
      <c r="F179" s="56">
        <f t="shared" ref="F179:Z179" si="111">F51/1000000*$K$2/F$2</f>
        <v>329.98752942411835</v>
      </c>
      <c r="G179" s="56"/>
      <c r="H179" s="56">
        <f t="shared" si="111"/>
        <v>374.1765459911461</v>
      </c>
      <c r="I179" s="56">
        <f t="shared" si="111"/>
        <v>338.12227545499263</v>
      </c>
      <c r="J179" s="56">
        <f t="shared" si="111"/>
        <v>332.69027</v>
      </c>
      <c r="K179" s="56">
        <f t="shared" si="111"/>
        <v>372.04322500000006</v>
      </c>
      <c r="L179" s="56">
        <f t="shared" si="111"/>
        <v>340.22603300587991</v>
      </c>
      <c r="M179" s="56">
        <f t="shared" si="111"/>
        <v>357.92089935752432</v>
      </c>
      <c r="N179" s="56">
        <f t="shared" si="111"/>
        <v>349.14842315909192</v>
      </c>
      <c r="O179" s="56">
        <f t="shared" si="111"/>
        <v>355.90348752287179</v>
      </c>
      <c r="P179" s="56">
        <f t="shared" si="111"/>
        <v>405.36851778355486</v>
      </c>
      <c r="Q179" s="56">
        <f t="shared" si="111"/>
        <v>397.74621031647496</v>
      </c>
      <c r="R179" s="56">
        <f t="shared" si="111"/>
        <v>399.32666686549919</v>
      </c>
      <c r="S179" s="56">
        <f t="shared" si="111"/>
        <v>403.14304181448915</v>
      </c>
      <c r="T179" s="56">
        <f t="shared" si="111"/>
        <v>405.71400711518777</v>
      </c>
      <c r="U179" s="56">
        <f t="shared" si="111"/>
        <v>386.20711879317628</v>
      </c>
      <c r="V179" s="56">
        <f t="shared" si="111"/>
        <v>395.81090262415398</v>
      </c>
      <c r="W179" s="56">
        <f t="shared" si="111"/>
        <v>383.97861152635357</v>
      </c>
      <c r="X179" s="56">
        <f t="shared" si="111"/>
        <v>365.55165363749302</v>
      </c>
      <c r="Y179" s="56">
        <f t="shared" si="111"/>
        <v>370.02465551135117</v>
      </c>
      <c r="Z179" s="56">
        <f t="shared" si="111"/>
        <v>349.26542527836239</v>
      </c>
      <c r="AB179" s="56" t="e">
        <f t="shared" si="110"/>
        <v>#REF!</v>
      </c>
      <c r="AC179" s="56" t="e">
        <f t="shared" si="110"/>
        <v>#REF!</v>
      </c>
      <c r="AD179" s="56" t="e">
        <f t="shared" si="110"/>
        <v>#REF!</v>
      </c>
    </row>
    <row r="180" spans="1:30">
      <c r="A180" s="58" t="str">
        <f t="shared" si="108"/>
        <v>Recovered Costs</v>
      </c>
      <c r="B180" s="23"/>
      <c r="C180" s="23"/>
      <c r="D180" s="23"/>
      <c r="E180" s="23"/>
      <c r="F180" s="56">
        <f t="shared" ref="F180:Z180" si="112">F52/1000000*$K$2/F$2</f>
        <v>-43.056724885430732</v>
      </c>
      <c r="G180" s="56"/>
      <c r="H180" s="56">
        <f t="shared" si="112"/>
        <v>-43.803864240039353</v>
      </c>
      <c r="I180" s="56">
        <f t="shared" si="112"/>
        <v>-43.803864240039353</v>
      </c>
      <c r="J180" s="56">
        <f t="shared" si="112"/>
        <v>-41.297375000000002</v>
      </c>
      <c r="K180" s="56">
        <f t="shared" si="112"/>
        <v>-43.613381000000004</v>
      </c>
      <c r="L180" s="56">
        <f t="shared" si="112"/>
        <v>-41.923129228654773</v>
      </c>
      <c r="M180" s="56">
        <f t="shared" si="112"/>
        <v>-42.523620225600489</v>
      </c>
      <c r="N180" s="56">
        <f t="shared" si="112"/>
        <v>-42.494961333029309</v>
      </c>
      <c r="O180" s="56">
        <f t="shared" si="112"/>
        <v>-46.272065985501435</v>
      </c>
      <c r="P180" s="56">
        <f t="shared" si="112"/>
        <v>-59.509269889014483</v>
      </c>
      <c r="Q180" s="56">
        <f t="shared" si="112"/>
        <v>-46.707687340362192</v>
      </c>
      <c r="R180" s="56">
        <f t="shared" si="112"/>
        <v>-46.05890274215065</v>
      </c>
      <c r="S180" s="56">
        <f t="shared" si="112"/>
        <v>-51.229134589121209</v>
      </c>
      <c r="T180" s="56">
        <f t="shared" si="112"/>
        <v>-49.36983538106162</v>
      </c>
      <c r="U180" s="56">
        <f t="shared" si="112"/>
        <v>-46.094779954303867</v>
      </c>
      <c r="V180" s="56">
        <f t="shared" si="112"/>
        <v>-41.551064798461965</v>
      </c>
      <c r="W180" s="56">
        <f t="shared" si="112"/>
        <v>-38.741561799116177</v>
      </c>
      <c r="X180" s="56">
        <f t="shared" si="112"/>
        <v>-40.736896538324871</v>
      </c>
      <c r="Y180" s="56">
        <f t="shared" si="112"/>
        <v>-38.742400213628542</v>
      </c>
      <c r="Z180" s="56">
        <f t="shared" si="112"/>
        <v>-39.334401848597444</v>
      </c>
      <c r="AB180" s="56" t="e">
        <f t="shared" si="110"/>
        <v>#REF!</v>
      </c>
      <c r="AC180" s="56" t="e">
        <f t="shared" si="110"/>
        <v>#REF!</v>
      </c>
      <c r="AD180" s="56" t="e">
        <f t="shared" si="110"/>
        <v>#REF!</v>
      </c>
    </row>
    <row r="181" spans="1:30">
      <c r="A181" s="58" t="str">
        <f t="shared" si="108"/>
        <v>Capital Equipment</v>
      </c>
      <c r="B181" s="23"/>
      <c r="C181" s="23"/>
      <c r="D181" s="23"/>
      <c r="E181" s="23"/>
      <c r="F181" s="56">
        <f t="shared" ref="F181:Z181" si="113">F53/1000000*$K$2/F$2</f>
        <v>0.12195914484299757</v>
      </c>
      <c r="G181" s="56"/>
      <c r="H181" s="56">
        <f t="shared" si="113"/>
        <v>1.7530191834727005</v>
      </c>
      <c r="I181" s="56">
        <f t="shared" si="113"/>
        <v>0.13282538121003443</v>
      </c>
      <c r="J181" s="56">
        <f t="shared" si="113"/>
        <v>1.6158939999999999</v>
      </c>
      <c r="K181" s="56">
        <f t="shared" si="113"/>
        <v>1.1582710000000001</v>
      </c>
      <c r="L181" s="56">
        <f t="shared" si="113"/>
        <v>1.260451934477917</v>
      </c>
      <c r="M181" s="56">
        <f t="shared" si="113"/>
        <v>1.0325104919809505</v>
      </c>
      <c r="N181" s="56">
        <f t="shared" si="113"/>
        <v>2.3607021436818107</v>
      </c>
      <c r="O181" s="56">
        <f t="shared" si="113"/>
        <v>0.8602986824905835</v>
      </c>
      <c r="P181" s="56">
        <f t="shared" si="113"/>
        <v>1.7039691872458675</v>
      </c>
      <c r="Q181" s="56">
        <f t="shared" si="113"/>
        <v>3.3743406011504722</v>
      </c>
      <c r="R181" s="56">
        <f t="shared" si="113"/>
        <v>4.032051634541804</v>
      </c>
      <c r="S181" s="56">
        <f t="shared" si="113"/>
        <v>3.327595734117891</v>
      </c>
      <c r="T181" s="56">
        <f t="shared" si="113"/>
        <v>6.7776958433290675</v>
      </c>
      <c r="U181" s="56">
        <f t="shared" si="113"/>
        <v>4.2261654217998945</v>
      </c>
      <c r="V181" s="56">
        <f t="shared" si="113"/>
        <v>4.5416096652038052</v>
      </c>
      <c r="W181" s="56">
        <f t="shared" si="113"/>
        <v>5.8703463300537342</v>
      </c>
      <c r="X181" s="56">
        <f t="shared" si="113"/>
        <v>9.4549845063777536</v>
      </c>
      <c r="Y181" s="56">
        <f t="shared" si="113"/>
        <v>10.386763568363339</v>
      </c>
      <c r="Z181" s="56">
        <f t="shared" si="113"/>
        <v>8.8369291221068433</v>
      </c>
      <c r="AB181" s="56" t="e">
        <f t="shared" si="110"/>
        <v>#REF!</v>
      </c>
      <c r="AC181" s="56" t="e">
        <f t="shared" si="110"/>
        <v>#REF!</v>
      </c>
      <c r="AD181" s="56" t="e">
        <f t="shared" si="110"/>
        <v>#REF!</v>
      </c>
    </row>
    <row r="182" spans="1:30">
      <c r="A182" s="58" t="str">
        <f t="shared" si="108"/>
        <v>Non-school Fringe Benefits</v>
      </c>
      <c r="B182" s="23"/>
      <c r="C182" s="23"/>
      <c r="D182" s="23"/>
      <c r="E182" s="23"/>
      <c r="F182" s="56">
        <f t="shared" ref="F182:Z182" si="114">F54/1000000*$K$2/F$2</f>
        <v>327.17552223046738</v>
      </c>
      <c r="G182" s="56"/>
      <c r="H182" s="56">
        <f t="shared" si="114"/>
        <v>309.1023413674373</v>
      </c>
      <c r="I182" s="56">
        <f t="shared" si="114"/>
        <v>308.912912936547</v>
      </c>
      <c r="J182" s="56">
        <f t="shared" si="114"/>
        <v>286.80829399999999</v>
      </c>
      <c r="K182" s="56">
        <f t="shared" si="114"/>
        <v>299.05172700000003</v>
      </c>
      <c r="L182" s="56">
        <f t="shared" si="114"/>
        <v>283.43119568648655</v>
      </c>
      <c r="M182" s="56">
        <f t="shared" si="114"/>
        <v>268.19963106888576</v>
      </c>
      <c r="N182" s="56">
        <f t="shared" si="114"/>
        <v>246.22287729506795</v>
      </c>
      <c r="O182" s="56">
        <f t="shared" si="114"/>
        <v>219.05512258194534</v>
      </c>
      <c r="P182" s="56">
        <f t="shared" si="114"/>
        <v>219.92789441943427</v>
      </c>
      <c r="Q182" s="56">
        <f t="shared" si="114"/>
        <v>215.41576267202811</v>
      </c>
      <c r="R182" s="56">
        <f t="shared" si="114"/>
        <v>210.37784116243697</v>
      </c>
      <c r="S182" s="56">
        <f t="shared" si="114"/>
        <v>194.03247801390381</v>
      </c>
      <c r="T182" s="56">
        <f t="shared" si="114"/>
        <v>185.43985042481052</v>
      </c>
      <c r="U182" s="56">
        <f t="shared" si="114"/>
        <v>166.44601055248106</v>
      </c>
      <c r="V182" s="56">
        <f t="shared" si="114"/>
        <v>164.64230741803084</v>
      </c>
      <c r="W182" s="56">
        <f t="shared" si="114"/>
        <v>145.31766007487494</v>
      </c>
      <c r="X182" s="56">
        <f t="shared" si="114"/>
        <v>145.1399147367288</v>
      </c>
      <c r="Y182" s="56">
        <f t="shared" si="114"/>
        <v>130.83826264581205</v>
      </c>
      <c r="Z182" s="56">
        <f t="shared" si="114"/>
        <v>121.56523368387457</v>
      </c>
      <c r="AB182" s="56" t="e">
        <f t="shared" si="110"/>
        <v>#REF!</v>
      </c>
      <c r="AC182" s="56" t="e">
        <f t="shared" si="110"/>
        <v>#REF!</v>
      </c>
      <c r="AD182" s="56" t="e">
        <f t="shared" si="110"/>
        <v>#REF!</v>
      </c>
    </row>
    <row r="183" spans="1:30">
      <c r="A183" s="61" t="str">
        <f t="shared" si="108"/>
        <v>Total Direct Expenditures (per County Balance)</v>
      </c>
      <c r="B183" s="23"/>
      <c r="C183" s="23"/>
      <c r="D183" s="23"/>
      <c r="E183" s="23"/>
      <c r="F183" s="60">
        <f t="shared" ref="F183:Z183" si="115">F55/1000000*$K$2/F$2</f>
        <v>1359.5089619410567</v>
      </c>
      <c r="G183" s="60"/>
      <c r="H183" s="60">
        <f t="shared" si="115"/>
        <v>1380.0513920314806</v>
      </c>
      <c r="I183" s="60">
        <f t="shared" si="115"/>
        <v>1343.222167240531</v>
      </c>
      <c r="J183" s="60">
        <f t="shared" si="115"/>
        <v>1292.40759</v>
      </c>
      <c r="K183" s="60">
        <f t="shared" si="115"/>
        <v>1360.468535</v>
      </c>
      <c r="L183" s="60">
        <f t="shared" si="115"/>
        <v>1289.9139780321921</v>
      </c>
      <c r="M183" s="60">
        <f t="shared" si="115"/>
        <v>1280.9205503410819</v>
      </c>
      <c r="N183" s="60">
        <f t="shared" si="115"/>
        <v>1250.6477510754553</v>
      </c>
      <c r="O183" s="60">
        <f t="shared" si="115"/>
        <v>1260.9322026004627</v>
      </c>
      <c r="P183" s="60">
        <f t="shared" si="115"/>
        <v>1334.0844124423813</v>
      </c>
      <c r="Q183" s="60">
        <f t="shared" si="115"/>
        <v>1320.5272111846359</v>
      </c>
      <c r="R183" s="60">
        <f t="shared" si="115"/>
        <v>1307.224070750214</v>
      </c>
      <c r="S183" s="60">
        <f t="shared" si="115"/>
        <v>1253.1198735654243</v>
      </c>
      <c r="T183" s="60">
        <f t="shared" si="115"/>
        <v>1218.7330096022386</v>
      </c>
      <c r="U183" s="60">
        <f t="shared" si="115"/>
        <v>1169.8541616466589</v>
      </c>
      <c r="V183" s="60">
        <f t="shared" si="115"/>
        <v>1174.1517728973931</v>
      </c>
      <c r="W183" s="60">
        <f t="shared" si="115"/>
        <v>1125.057487920707</v>
      </c>
      <c r="X183" s="60">
        <f t="shared" si="115"/>
        <v>1082.1568784834926</v>
      </c>
      <c r="Y183" s="60">
        <f t="shared" si="115"/>
        <v>1047.1972256042432</v>
      </c>
      <c r="Z183" s="60">
        <f t="shared" si="115"/>
        <v>985.94658919470999</v>
      </c>
      <c r="AB183" s="60" t="e">
        <f t="shared" si="110"/>
        <v>#REF!</v>
      </c>
      <c r="AC183" s="56" t="e">
        <f t="shared" si="110"/>
        <v>#REF!</v>
      </c>
      <c r="AD183" s="56" t="e">
        <f t="shared" si="110"/>
        <v>#REF!</v>
      </c>
    </row>
    <row r="184" spans="1:30">
      <c r="A184" s="58"/>
      <c r="B184" s="23"/>
      <c r="C184" s="23"/>
      <c r="D184" s="23"/>
      <c r="E184" s="23"/>
      <c r="F184" s="56"/>
      <c r="G184" s="56"/>
      <c r="H184" s="56"/>
      <c r="I184" s="56"/>
      <c r="J184" s="56"/>
      <c r="K184" s="56"/>
      <c r="L184" s="56"/>
      <c r="M184" s="56"/>
      <c r="N184" s="56"/>
      <c r="O184" s="56"/>
      <c r="P184" s="56"/>
      <c r="Q184" s="56"/>
      <c r="R184" s="56"/>
      <c r="S184" s="56"/>
      <c r="T184" s="56"/>
      <c r="U184" s="56"/>
      <c r="V184" s="56"/>
      <c r="W184" s="56"/>
      <c r="X184" s="56"/>
      <c r="Y184" s="56"/>
      <c r="Z184" s="56"/>
      <c r="AB184" s="56"/>
      <c r="AC184" s="56"/>
      <c r="AD184" s="56"/>
    </row>
    <row r="185" spans="1:30">
      <c r="A185" s="59" t="str">
        <f>A58</f>
        <v>Transfers Out</v>
      </c>
      <c r="B185" s="23"/>
      <c r="C185" s="23"/>
      <c r="D185" s="23"/>
      <c r="E185" s="23"/>
      <c r="F185" s="56"/>
      <c r="G185" s="56"/>
      <c r="H185" s="56"/>
      <c r="I185" s="56"/>
      <c r="J185" s="56"/>
      <c r="K185" s="56"/>
      <c r="L185" s="56"/>
      <c r="M185" s="56"/>
      <c r="N185" s="56"/>
      <c r="O185" s="56"/>
      <c r="P185" s="56"/>
      <c r="Q185" s="56"/>
      <c r="R185" s="56"/>
      <c r="S185" s="56"/>
      <c r="T185" s="56"/>
      <c r="U185" s="56"/>
      <c r="V185" s="56"/>
      <c r="W185" s="56"/>
      <c r="X185" s="56"/>
      <c r="Y185" s="56"/>
      <c r="Z185" s="56"/>
      <c r="AB185" s="56"/>
      <c r="AC185" s="56"/>
      <c r="AD185" s="56"/>
    </row>
    <row r="186" spans="1:30">
      <c r="A186" s="58" t="str">
        <f>A59</f>
        <v>Public School Operating  (School Transfer Fund)</v>
      </c>
      <c r="B186" s="23"/>
      <c r="C186" s="23"/>
      <c r="D186" s="23"/>
      <c r="E186" s="23"/>
      <c r="F186" s="56">
        <f t="shared" ref="F186:Z186" si="116">F59/1000000*$K$2/F$2</f>
        <v>1766.3818466043194</v>
      </c>
      <c r="G186" s="56"/>
      <c r="H186" s="56">
        <f t="shared" si="116"/>
        <v>1739.7918278406298</v>
      </c>
      <c r="I186" s="56">
        <f t="shared" si="116"/>
        <v>1739.7918278406298</v>
      </c>
      <c r="J186" s="56">
        <f t="shared" si="116"/>
        <v>1716.9887309999999</v>
      </c>
      <c r="K186" s="56">
        <f t="shared" si="116"/>
        <v>1716.9887309999999</v>
      </c>
      <c r="L186" s="56">
        <f t="shared" si="116"/>
        <v>1710.629525891103</v>
      </c>
      <c r="M186" s="56">
        <f t="shared" si="116"/>
        <v>1660.9448662940576</v>
      </c>
      <c r="N186" s="56">
        <f t="shared" si="116"/>
        <v>1696.110808158435</v>
      </c>
      <c r="O186" s="56">
        <f t="shared" si="116"/>
        <v>1765.9464523953129</v>
      </c>
      <c r="P186" s="56">
        <f t="shared" si="116"/>
        <v>1794.9128570992991</v>
      </c>
      <c r="Q186" s="56">
        <f t="shared" si="116"/>
        <v>1744.5450038171587</v>
      </c>
      <c r="R186" s="56">
        <f t="shared" si="116"/>
        <v>1750.5771770979934</v>
      </c>
      <c r="S186" s="56">
        <f t="shared" si="116"/>
        <v>1680.8007376578539</v>
      </c>
      <c r="T186" s="56">
        <f t="shared" si="116"/>
        <v>1602.9380231916527</v>
      </c>
      <c r="U186" s="56">
        <f t="shared" si="116"/>
        <v>1555.0775457948271</v>
      </c>
      <c r="V186" s="56">
        <f t="shared" si="116"/>
        <v>1503.8861414187852</v>
      </c>
      <c r="W186" s="56">
        <f t="shared" si="116"/>
        <v>1421.0904360962127</v>
      </c>
      <c r="X186" s="56">
        <f t="shared" si="116"/>
        <v>1320.6976150373011</v>
      </c>
      <c r="Y186" s="56">
        <f t="shared" si="116"/>
        <v>1233.7399536936557</v>
      </c>
      <c r="Z186" s="56">
        <f t="shared" si="116"/>
        <v>1210.8612003852643</v>
      </c>
      <c r="AB186" s="56" t="e">
        <f>AB59/1000000*$K$2/AB$2</f>
        <v>#REF!</v>
      </c>
      <c r="AC186" s="56" t="e">
        <f>AC59/1000000*$K$2/AC$2</f>
        <v>#REF!</v>
      </c>
      <c r="AD186" s="56" t="e">
        <f>AD59/1000000*$K$2/AD$2</f>
        <v>#REF!</v>
      </c>
    </row>
    <row r="187" spans="1:30">
      <c r="A187" s="58" t="str">
        <f t="shared" ref="A187:A230" si="117">A61</f>
        <v xml:space="preserve">Revenue Stabilization Fund   </v>
      </c>
      <c r="B187" s="23"/>
      <c r="C187" s="23"/>
      <c r="D187" s="23"/>
      <c r="E187" s="23"/>
      <c r="F187" s="56">
        <f t="shared" ref="F187:Z187" si="118">F61/1000000*$K$2/F$2</f>
        <v>0.34333158564937749</v>
      </c>
      <c r="G187" s="56"/>
      <c r="H187" s="56">
        <f t="shared" si="118"/>
        <v>2.1392926709296605</v>
      </c>
      <c r="I187" s="56">
        <f t="shared" si="118"/>
        <v>1.0146069847515986</v>
      </c>
      <c r="J187" s="56">
        <f t="shared" si="118"/>
        <v>2.769177</v>
      </c>
      <c r="K187" s="56">
        <f t="shared" si="118"/>
        <v>1.2507969999999999</v>
      </c>
      <c r="L187" s="56">
        <f t="shared" si="118"/>
        <v>1.7077055649127075</v>
      </c>
      <c r="M187" s="56">
        <f t="shared" si="118"/>
        <v>0</v>
      </c>
      <c r="N187" s="56">
        <f t="shared" si="118"/>
        <v>0</v>
      </c>
      <c r="O187" s="56">
        <f t="shared" si="118"/>
        <v>17.602750135482019</v>
      </c>
      <c r="P187" s="56">
        <f t="shared" si="118"/>
        <v>0</v>
      </c>
      <c r="Q187" s="56">
        <f t="shared" si="118"/>
        <v>0</v>
      </c>
      <c r="R187" s="56">
        <f t="shared" si="118"/>
        <v>0</v>
      </c>
      <c r="S187" s="56">
        <f t="shared" si="118"/>
        <v>52.614897219009592</v>
      </c>
      <c r="T187" s="56">
        <f t="shared" si="118"/>
        <v>14.080703543307733</v>
      </c>
      <c r="U187" s="56">
        <f t="shared" si="118"/>
        <v>6.5777613871607565</v>
      </c>
      <c r="V187" s="56">
        <f t="shared" si="118"/>
        <v>1.7873464788469207</v>
      </c>
      <c r="W187" s="56">
        <f t="shared" si="118"/>
        <v>3.3043710467389293</v>
      </c>
      <c r="X187" s="56">
        <f t="shared" si="118"/>
        <v>6.208683343812349</v>
      </c>
      <c r="Y187" s="56">
        <f t="shared" si="118"/>
        <v>24.696014456279524</v>
      </c>
      <c r="Z187" s="56">
        <f t="shared" si="118"/>
        <v>0</v>
      </c>
      <c r="AB187" s="56" t="e">
        <f t="shared" ref="AB187:AD205" si="119">AB61/1000000*$K$2/AB$2</f>
        <v>#REF!</v>
      </c>
      <c r="AC187" s="56" t="e">
        <f t="shared" si="119"/>
        <v>#REF!</v>
      </c>
      <c r="AD187" s="56" t="e">
        <f t="shared" si="119"/>
        <v>#REF!</v>
      </c>
    </row>
    <row r="188" spans="1:30">
      <c r="A188" s="58" t="str">
        <f t="shared" si="117"/>
        <v xml:space="preserve">Consolidated Community Funding Pool  </v>
      </c>
      <c r="B188" s="23"/>
      <c r="C188" s="23"/>
      <c r="D188" s="23"/>
      <c r="E188" s="23"/>
      <c r="F188" s="56">
        <f t="shared" ref="F188:Z188" si="120">F62/1000000*$K$2/F$2</f>
        <v>10.269455121822928</v>
      </c>
      <c r="G188" s="56"/>
      <c r="H188" s="56">
        <f t="shared" si="120"/>
        <v>10.438901131333006</v>
      </c>
      <c r="I188" s="56">
        <f t="shared" si="120"/>
        <v>10.438901131333006</v>
      </c>
      <c r="J188" s="56">
        <f t="shared" si="120"/>
        <v>9.8677550000000007</v>
      </c>
      <c r="K188" s="56">
        <f t="shared" si="120"/>
        <v>9.8677550000000007</v>
      </c>
      <c r="L188" s="56">
        <f t="shared" si="120"/>
        <v>10.027831988964349</v>
      </c>
      <c r="M188" s="56">
        <f t="shared" si="120"/>
        <v>9.2497487894234993</v>
      </c>
      <c r="N188" s="56">
        <f t="shared" si="120"/>
        <v>9.4411572880660337</v>
      </c>
      <c r="O188" s="56">
        <f t="shared" si="120"/>
        <v>9.739177334017409</v>
      </c>
      <c r="P188" s="56">
        <f t="shared" si="120"/>
        <v>9.8989267713564555</v>
      </c>
      <c r="Q188" s="56">
        <f t="shared" si="120"/>
        <v>9.5889115499807254</v>
      </c>
      <c r="R188" s="56">
        <f t="shared" si="120"/>
        <v>9.5041483783965628</v>
      </c>
      <c r="S188" s="56">
        <f t="shared" si="120"/>
        <v>8.7720508071155763</v>
      </c>
      <c r="T188" s="56">
        <f t="shared" si="120"/>
        <v>8.2204833807373276</v>
      </c>
      <c r="U188" s="56">
        <f t="shared" si="120"/>
        <v>8.0942827436500799</v>
      </c>
      <c r="V188" s="56">
        <f t="shared" si="120"/>
        <v>8.078028560473733</v>
      </c>
      <c r="W188" s="56">
        <f t="shared" si="120"/>
        <v>7.7944626214100428</v>
      </c>
      <c r="X188" s="56">
        <f t="shared" si="120"/>
        <v>7.7800460506230014</v>
      </c>
      <c r="Y188" s="56">
        <f t="shared" si="120"/>
        <v>7.0749813209881927</v>
      </c>
      <c r="Z188" s="56">
        <f t="shared" si="120"/>
        <v>6.9447250774509826</v>
      </c>
      <c r="AB188" s="56" t="e">
        <f t="shared" si="119"/>
        <v>#REF!</v>
      </c>
      <c r="AC188" s="56" t="e">
        <f t="shared" si="119"/>
        <v>#REF!</v>
      </c>
      <c r="AD188" s="56" t="e">
        <f t="shared" si="119"/>
        <v>#REF!</v>
      </c>
    </row>
    <row r="189" spans="1:30">
      <c r="A189" s="58" t="str">
        <f t="shared" si="117"/>
        <v xml:space="preserve">Contributory Fund    </v>
      </c>
      <c r="B189" s="23"/>
      <c r="C189" s="23"/>
      <c r="D189" s="23"/>
      <c r="E189" s="23"/>
      <c r="F189" s="56">
        <f t="shared" ref="F189:Z189" si="121">F63/1000000*$K$2/F$2</f>
        <v>12.431028705164589</v>
      </c>
      <c r="G189" s="56"/>
      <c r="H189" s="56">
        <f t="shared" si="121"/>
        <v>14.777062469257256</v>
      </c>
      <c r="I189" s="56">
        <f t="shared" si="121"/>
        <v>14.481932120019675</v>
      </c>
      <c r="J189" s="56">
        <f t="shared" si="121"/>
        <v>14.370975</v>
      </c>
      <c r="K189" s="56">
        <f t="shared" si="121"/>
        <v>14.370975</v>
      </c>
      <c r="L189" s="56">
        <f t="shared" si="121"/>
        <v>15.938010768218039</v>
      </c>
      <c r="M189" s="56">
        <f t="shared" si="121"/>
        <v>15.067524100931825</v>
      </c>
      <c r="N189" s="56">
        <f t="shared" si="121"/>
        <v>12.669657406028296</v>
      </c>
      <c r="O189" s="56">
        <f t="shared" si="121"/>
        <v>14.043578162245783</v>
      </c>
      <c r="P189" s="56">
        <f t="shared" si="121"/>
        <v>15.253390225696112</v>
      </c>
      <c r="Q189" s="56">
        <f t="shared" si="121"/>
        <v>14.717896816836429</v>
      </c>
      <c r="R189" s="56">
        <f t="shared" si="121"/>
        <v>13.959500839120874</v>
      </c>
      <c r="S189" s="56">
        <f t="shared" si="121"/>
        <v>14.212743466035882</v>
      </c>
      <c r="T189" s="56">
        <f t="shared" si="121"/>
        <v>11.967266567851169</v>
      </c>
      <c r="U189" s="56">
        <f t="shared" si="121"/>
        <v>8.8333332030977605</v>
      </c>
      <c r="V189" s="56">
        <f t="shared" si="121"/>
        <v>8.3729297740027171</v>
      </c>
      <c r="W189" s="56">
        <f t="shared" si="121"/>
        <v>8.8136361636520295</v>
      </c>
      <c r="X189" s="56">
        <f t="shared" si="121"/>
        <v>8.2855987411773029</v>
      </c>
      <c r="Y189" s="56">
        <f t="shared" si="121"/>
        <v>0</v>
      </c>
      <c r="Z189" s="56">
        <f t="shared" si="121"/>
        <v>0</v>
      </c>
      <c r="AB189" s="56" t="e">
        <f t="shared" si="119"/>
        <v>#REF!</v>
      </c>
      <c r="AC189" s="56" t="e">
        <f t="shared" si="119"/>
        <v>#REF!</v>
      </c>
      <c r="AD189" s="56" t="e">
        <f t="shared" si="119"/>
        <v>#REF!</v>
      </c>
    </row>
    <row r="190" spans="1:30">
      <c r="A190" s="58" t="str">
        <f t="shared" si="117"/>
        <v xml:space="preserve">Information Technology    </v>
      </c>
      <c r="B190" s="23"/>
      <c r="C190" s="23"/>
      <c r="D190" s="23"/>
      <c r="E190" s="23"/>
      <c r="F190" s="56">
        <f t="shared" ref="F190:Z190" si="122">F64/1000000*$K$2/F$2</f>
        <v>2.6130576912328767</v>
      </c>
      <c r="G190" s="56"/>
      <c r="H190" s="56">
        <f t="shared" si="122"/>
        <v>11.068627643876047</v>
      </c>
      <c r="I190" s="56">
        <f t="shared" si="122"/>
        <v>3.6829906542056072</v>
      </c>
      <c r="J190" s="56">
        <f t="shared" si="122"/>
        <v>9.76328</v>
      </c>
      <c r="K190" s="56">
        <f t="shared" si="122"/>
        <v>9.76328</v>
      </c>
      <c r="L190" s="56">
        <f t="shared" si="122"/>
        <v>14.513258056074708</v>
      </c>
      <c r="M190" s="56">
        <f t="shared" si="122"/>
        <v>16.684958550689679</v>
      </c>
      <c r="N190" s="56">
        <f t="shared" si="122"/>
        <v>20.023138960187755</v>
      </c>
      <c r="O190" s="56">
        <f t="shared" si="122"/>
        <v>14.580785652604531</v>
      </c>
      <c r="P190" s="56">
        <f t="shared" si="122"/>
        <v>18.783132352216636</v>
      </c>
      <c r="Q190" s="56">
        <f t="shared" si="122"/>
        <v>13.590440314545086</v>
      </c>
      <c r="R190" s="56">
        <f t="shared" si="122"/>
        <v>15.413364749377036</v>
      </c>
      <c r="S190" s="56">
        <f t="shared" si="122"/>
        <v>22.500399900700234</v>
      </c>
      <c r="T190" s="56">
        <f t="shared" si="122"/>
        <v>13.848790588147295</v>
      </c>
      <c r="U190" s="56">
        <f t="shared" si="122"/>
        <v>14.198418902758956</v>
      </c>
      <c r="V190" s="56">
        <f t="shared" si="122"/>
        <v>7.6188208677916665</v>
      </c>
      <c r="W190" s="56">
        <f t="shared" si="122"/>
        <v>16.82837264241801</v>
      </c>
      <c r="X190" s="56">
        <f t="shared" si="122"/>
        <v>24.586963779335594</v>
      </c>
      <c r="Y190" s="56">
        <f t="shared" si="122"/>
        <v>21.774012395790752</v>
      </c>
      <c r="Z190" s="56">
        <f t="shared" si="122"/>
        <v>22.852113748625452</v>
      </c>
      <c r="AB190" s="56" t="e">
        <f t="shared" si="119"/>
        <v>#REF!</v>
      </c>
      <c r="AC190" s="56" t="e">
        <f t="shared" si="119"/>
        <v>#REF!</v>
      </c>
      <c r="AD190" s="56" t="e">
        <f t="shared" si="119"/>
        <v>#REF!</v>
      </c>
    </row>
    <row r="191" spans="1:30">
      <c r="A191" s="58" t="str">
        <f t="shared" si="117"/>
        <v xml:space="preserve">County Debt Service   </v>
      </c>
      <c r="B191" s="23"/>
      <c r="C191" s="23"/>
      <c r="D191" s="23"/>
      <c r="E191" s="23"/>
      <c r="F191" s="56">
        <f t="shared" ref="F191:Z191" si="123">F65/1000000*$K$2/F$2</f>
        <v>123.67824259288875</v>
      </c>
      <c r="G191" s="56"/>
      <c r="H191" s="56">
        <f t="shared" si="123"/>
        <v>131.57123167732414</v>
      </c>
      <c r="I191" s="56">
        <f t="shared" si="123"/>
        <v>131.57123167732414</v>
      </c>
      <c r="J191" s="56">
        <f t="shared" si="123"/>
        <v>118.79799199999999</v>
      </c>
      <c r="K191" s="56">
        <f t="shared" si="123"/>
        <v>118.79799199999999</v>
      </c>
      <c r="L191" s="56">
        <f t="shared" si="123"/>
        <v>118.7486904000136</v>
      </c>
      <c r="M191" s="56">
        <f t="shared" si="123"/>
        <v>120.41295096411963</v>
      </c>
      <c r="N191" s="56">
        <f t="shared" si="123"/>
        <v>128.0406445740004</v>
      </c>
      <c r="O191" s="56">
        <f t="shared" si="123"/>
        <v>120.4350789859906</v>
      </c>
      <c r="P191" s="56">
        <f t="shared" si="123"/>
        <v>124.87767300439087</v>
      </c>
      <c r="Q191" s="56">
        <f t="shared" si="123"/>
        <v>124.66039788380485</v>
      </c>
      <c r="R191" s="56">
        <f t="shared" si="123"/>
        <v>126.38346856412512</v>
      </c>
      <c r="S191" s="56">
        <f t="shared" si="123"/>
        <v>115.91988025832426</v>
      </c>
      <c r="T191" s="56">
        <f t="shared" si="123"/>
        <v>119.65923123439923</v>
      </c>
      <c r="U191" s="56">
        <f t="shared" si="123"/>
        <v>123.37563099985179</v>
      </c>
      <c r="V191" s="56">
        <f t="shared" si="123"/>
        <v>128.77610012477084</v>
      </c>
      <c r="W191" s="56">
        <f t="shared" si="123"/>
        <v>128.97434523111173</v>
      </c>
      <c r="X191" s="56">
        <f t="shared" si="123"/>
        <v>126.54548923511106</v>
      </c>
      <c r="Y191" s="56">
        <f t="shared" si="123"/>
        <v>130.07064493800817</v>
      </c>
      <c r="Z191" s="56">
        <f t="shared" si="123"/>
        <v>134.52882801634456</v>
      </c>
      <c r="AB191" s="56" t="e">
        <f t="shared" si="119"/>
        <v>#REF!</v>
      </c>
      <c r="AC191" s="56" t="e">
        <f t="shared" si="119"/>
        <v>#REF!</v>
      </c>
      <c r="AD191" s="56" t="e">
        <f t="shared" si="119"/>
        <v>#REF!</v>
      </c>
    </row>
    <row r="192" spans="1:30">
      <c r="A192" s="58" t="str">
        <f t="shared" si="117"/>
        <v xml:space="preserve">School Debt Service   </v>
      </c>
      <c r="B192" s="23"/>
      <c r="C192" s="23"/>
      <c r="D192" s="23"/>
      <c r="E192" s="23"/>
      <c r="F192" s="56">
        <f t="shared" ref="F192:Z192" si="124">F66/1000000*$K$2/F$2</f>
        <v>181.13084620244084</v>
      </c>
      <c r="G192" s="56"/>
      <c r="H192" s="56">
        <f t="shared" si="124"/>
        <v>174.26579045745206</v>
      </c>
      <c r="I192" s="56">
        <f t="shared" si="124"/>
        <v>174.26579045745206</v>
      </c>
      <c r="J192" s="56">
        <f t="shared" si="124"/>
        <v>172.367649</v>
      </c>
      <c r="K192" s="56">
        <f t="shared" si="124"/>
        <v>172.367649</v>
      </c>
      <c r="L192" s="56">
        <f t="shared" si="124"/>
        <v>167.42979094911118</v>
      </c>
      <c r="M192" s="56">
        <f t="shared" si="124"/>
        <v>164.70890386654696</v>
      </c>
      <c r="N192" s="56">
        <f t="shared" si="124"/>
        <v>168.61108339943317</v>
      </c>
      <c r="O192" s="56">
        <f t="shared" si="124"/>
        <v>177.79740862163314</v>
      </c>
      <c r="P192" s="56">
        <f t="shared" si="124"/>
        <v>170.63380717077166</v>
      </c>
      <c r="Q192" s="56">
        <f t="shared" si="124"/>
        <v>162.57786836811999</v>
      </c>
      <c r="R192" s="56">
        <f t="shared" si="124"/>
        <v>162.43841003949674</v>
      </c>
      <c r="S192" s="56">
        <f t="shared" si="124"/>
        <v>152.987745057648</v>
      </c>
      <c r="T192" s="56">
        <f t="shared" si="124"/>
        <v>153.3730990425849</v>
      </c>
      <c r="U192" s="56">
        <f t="shared" si="124"/>
        <v>151.51206528821334</v>
      </c>
      <c r="V192" s="56">
        <f t="shared" si="124"/>
        <v>146.16500200514224</v>
      </c>
      <c r="W192" s="56">
        <f t="shared" si="124"/>
        <v>138.86820891804336</v>
      </c>
      <c r="X192" s="56">
        <f t="shared" si="124"/>
        <v>127.32514123515811</v>
      </c>
      <c r="Y192" s="56">
        <f t="shared" si="124"/>
        <v>122.98720737915023</v>
      </c>
      <c r="Z192" s="56">
        <f t="shared" si="124"/>
        <v>117.90729897858445</v>
      </c>
      <c r="AB192" s="56" t="e">
        <f t="shared" si="119"/>
        <v>#REF!</v>
      </c>
      <c r="AC192" s="56" t="e">
        <f t="shared" si="119"/>
        <v>#REF!</v>
      </c>
      <c r="AD192" s="56" t="e">
        <f t="shared" si="119"/>
        <v>#REF!</v>
      </c>
    </row>
    <row r="193" spans="1:30">
      <c r="A193" s="58" t="str">
        <f t="shared" si="117"/>
        <v xml:space="preserve">Metro Operations &amp; Construction  </v>
      </c>
      <c r="B193" s="23"/>
      <c r="C193" s="23"/>
      <c r="D193" s="23"/>
      <c r="E193" s="23"/>
      <c r="F193" s="56">
        <f t="shared" ref="F193:Z193" si="125">F67/1000000*$K$2/F$2</f>
        <v>10.934481207639129</v>
      </c>
      <c r="G193" s="56"/>
      <c r="H193" s="56">
        <f t="shared" si="125"/>
        <v>11.114900147565175</v>
      </c>
      <c r="I193" s="56">
        <f t="shared" si="125"/>
        <v>11.114900147565175</v>
      </c>
      <c r="J193" s="56">
        <f t="shared" si="125"/>
        <v>11.298296000000001</v>
      </c>
      <c r="K193" s="56">
        <f t="shared" si="125"/>
        <v>11.298296000000001</v>
      </c>
      <c r="L193" s="56">
        <f t="shared" si="125"/>
        <v>11.481579553767594</v>
      </c>
      <c r="M193" s="56">
        <f t="shared" si="125"/>
        <v>11.649765480452988</v>
      </c>
      <c r="N193" s="56">
        <f t="shared" si="125"/>
        <v>7.7984627902114276</v>
      </c>
      <c r="O193" s="56">
        <f t="shared" si="125"/>
        <v>8.0446294589975356</v>
      </c>
      <c r="P193" s="56">
        <f t="shared" si="125"/>
        <v>8.2869311026901364</v>
      </c>
      <c r="Q193" s="56">
        <f t="shared" si="125"/>
        <v>22.338774255237972</v>
      </c>
      <c r="R193" s="56">
        <f t="shared" si="125"/>
        <v>23.196482687904528</v>
      </c>
      <c r="S193" s="56">
        <f t="shared" si="125"/>
        <v>25.031454762609957</v>
      </c>
      <c r="T193" s="56">
        <f t="shared" si="125"/>
        <v>21.994547525123739</v>
      </c>
      <c r="U193" s="56">
        <f t="shared" si="125"/>
        <v>15.380599613320982</v>
      </c>
      <c r="V193" s="56">
        <f t="shared" si="125"/>
        <v>15.790191668240944</v>
      </c>
      <c r="W193" s="56">
        <f t="shared" si="125"/>
        <v>15.068532038121178</v>
      </c>
      <c r="X193" s="56">
        <f t="shared" si="125"/>
        <v>16.940849443827407</v>
      </c>
      <c r="Y193" s="56">
        <f t="shared" si="125"/>
        <v>9.686427323954705</v>
      </c>
      <c r="Z193" s="56">
        <f t="shared" si="125"/>
        <v>15.845487705434175</v>
      </c>
      <c r="AB193" s="56" t="e">
        <f t="shared" si="119"/>
        <v>#REF!</v>
      </c>
      <c r="AC193" s="56" t="e">
        <f t="shared" si="119"/>
        <v>#REF!</v>
      </c>
      <c r="AD193" s="56" t="e">
        <f t="shared" si="119"/>
        <v>#REF!</v>
      </c>
    </row>
    <row r="194" spans="1:30">
      <c r="A194" s="58" t="str">
        <f t="shared" si="117"/>
        <v>General Construction and Contributions</v>
      </c>
      <c r="B194" s="23"/>
      <c r="C194" s="23"/>
      <c r="D194" s="23"/>
      <c r="E194" s="23"/>
      <c r="F194" s="56">
        <f t="shared" ref="F194:Z194" si="126">F68/1000000*$K$2/F$2</f>
        <v>18.428606787804476</v>
      </c>
      <c r="G194" s="56"/>
      <c r="H194" s="56">
        <f t="shared" si="126"/>
        <v>25.575977373339892</v>
      </c>
      <c r="I194" s="56">
        <f t="shared" si="126"/>
        <v>17.888815543531724</v>
      </c>
      <c r="J194" s="56">
        <f t="shared" si="126"/>
        <v>22.136496999999999</v>
      </c>
      <c r="K194" s="56">
        <f t="shared" si="126"/>
        <v>20.376497000000001</v>
      </c>
      <c r="L194" s="56">
        <f t="shared" si="126"/>
        <v>16.823121022128898</v>
      </c>
      <c r="M194" s="56">
        <f t="shared" si="126"/>
        <v>19.095472954149116</v>
      </c>
      <c r="N194" s="56">
        <f t="shared" si="126"/>
        <v>13.042808198540348</v>
      </c>
      <c r="O194" s="56">
        <f t="shared" si="126"/>
        <v>13.147190828600605</v>
      </c>
      <c r="P194" s="56">
        <f t="shared" si="126"/>
        <v>14.883227407251431</v>
      </c>
      <c r="Q194" s="56">
        <f t="shared" si="126"/>
        <v>19.629530963301335</v>
      </c>
      <c r="R194" s="56">
        <f t="shared" si="126"/>
        <v>34.369945188833746</v>
      </c>
      <c r="S194" s="56">
        <f t="shared" si="126"/>
        <v>33.370606010670471</v>
      </c>
      <c r="T194" s="56">
        <f t="shared" si="126"/>
        <v>24.945582028882065</v>
      </c>
      <c r="U194" s="56">
        <f t="shared" si="126"/>
        <v>13.051543086591671</v>
      </c>
      <c r="V194" s="56">
        <f t="shared" si="126"/>
        <v>6.2477646451512694</v>
      </c>
      <c r="W194" s="56">
        <f t="shared" si="126"/>
        <v>5.6016764415610529</v>
      </c>
      <c r="X194" s="56">
        <f t="shared" si="126"/>
        <v>20.673067963507435</v>
      </c>
      <c r="Y194" s="56">
        <f t="shared" si="126"/>
        <v>15.388452984558658</v>
      </c>
      <c r="Z194" s="56">
        <f t="shared" si="126"/>
        <v>11.624990566538619</v>
      </c>
      <c r="AB194" s="56" t="e">
        <f t="shared" si="119"/>
        <v>#REF!</v>
      </c>
      <c r="AC194" s="56" t="e">
        <f t="shared" si="119"/>
        <v>#REF!</v>
      </c>
      <c r="AD194" s="56" t="e">
        <f t="shared" si="119"/>
        <v>#REF!</v>
      </c>
    </row>
    <row r="195" spans="1:30">
      <c r="A195" s="58" t="str">
        <f t="shared" si="117"/>
        <v xml:space="preserve">Capital Renewal Construction   </v>
      </c>
      <c r="B195" s="23"/>
      <c r="C195" s="23"/>
      <c r="D195" s="23"/>
      <c r="E195" s="23"/>
      <c r="F195" s="56">
        <f t="shared" ref="F195:Z195" si="127">F69/1000000*$K$2/F$2</f>
        <v>2.6130576912328767</v>
      </c>
      <c r="G195" s="56"/>
      <c r="H195" s="56">
        <f t="shared" si="127"/>
        <v>5.4599114608952286</v>
      </c>
      <c r="I195" s="56">
        <f t="shared" si="127"/>
        <v>2.6561731431382194</v>
      </c>
      <c r="J195" s="56">
        <f t="shared" si="127"/>
        <v>4.9999999999999991</v>
      </c>
      <c r="K195" s="56">
        <f t="shared" si="127"/>
        <v>4.9999999999999991</v>
      </c>
      <c r="L195" s="56">
        <f t="shared" si="127"/>
        <v>0</v>
      </c>
      <c r="M195" s="56">
        <f t="shared" si="127"/>
        <v>0</v>
      </c>
      <c r="N195" s="56">
        <f t="shared" si="127"/>
        <v>3.1573358722913976</v>
      </c>
      <c r="O195" s="56">
        <f t="shared" si="127"/>
        <v>8.1099312332611806</v>
      </c>
      <c r="P195" s="56">
        <f t="shared" si="127"/>
        <v>7.6408135207889556</v>
      </c>
      <c r="Q195" s="56">
        <f t="shared" si="127"/>
        <v>2.136776376282882</v>
      </c>
      <c r="R195" s="56">
        <f t="shared" si="127"/>
        <v>6.4407052896502721</v>
      </c>
      <c r="S195" s="56">
        <f t="shared" si="127"/>
        <v>13.379890131120208</v>
      </c>
      <c r="T195" s="56">
        <f t="shared" si="127"/>
        <v>0</v>
      </c>
      <c r="U195" s="56">
        <f t="shared" si="127"/>
        <v>0</v>
      </c>
      <c r="V195" s="56">
        <f t="shared" si="127"/>
        <v>0</v>
      </c>
      <c r="W195" s="56">
        <f t="shared" si="127"/>
        <v>0</v>
      </c>
      <c r="X195" s="56">
        <f t="shared" si="127"/>
        <v>0</v>
      </c>
      <c r="Y195" s="56">
        <f t="shared" si="127"/>
        <v>0</v>
      </c>
      <c r="Z195" s="56">
        <f t="shared" si="127"/>
        <v>0</v>
      </c>
      <c r="AB195" s="56" t="e">
        <f t="shared" si="119"/>
        <v>#REF!</v>
      </c>
      <c r="AC195" s="56" t="e">
        <f t="shared" si="119"/>
        <v>#REF!</v>
      </c>
      <c r="AD195" s="56" t="e">
        <f t="shared" si="119"/>
        <v>#REF!</v>
      </c>
    </row>
    <row r="196" spans="1:30">
      <c r="A196" s="58" t="str">
        <f t="shared" si="117"/>
        <v xml:space="preserve">Library Construction    </v>
      </c>
      <c r="B196" s="23"/>
      <c r="C196" s="23"/>
      <c r="D196" s="23"/>
      <c r="E196" s="23"/>
      <c r="F196" s="56">
        <f t="shared" ref="F196:Z196" si="128">F70/1000000*$K$2/F$2</f>
        <v>0</v>
      </c>
      <c r="G196" s="56"/>
      <c r="H196" s="56">
        <f t="shared" si="128"/>
        <v>0</v>
      </c>
      <c r="I196" s="56">
        <f t="shared" si="128"/>
        <v>0</v>
      </c>
      <c r="J196" s="56">
        <f t="shared" si="128"/>
        <v>0</v>
      </c>
      <c r="K196" s="56">
        <f t="shared" si="128"/>
        <v>0</v>
      </c>
      <c r="L196" s="56">
        <f t="shared" si="128"/>
        <v>0</v>
      </c>
      <c r="M196" s="56">
        <f t="shared" si="128"/>
        <v>0</v>
      </c>
      <c r="N196" s="56">
        <f t="shared" si="128"/>
        <v>0</v>
      </c>
      <c r="O196" s="56">
        <f t="shared" si="128"/>
        <v>0</v>
      </c>
      <c r="P196" s="56">
        <f t="shared" si="128"/>
        <v>0</v>
      </c>
      <c r="Q196" s="56">
        <f t="shared" si="128"/>
        <v>0</v>
      </c>
      <c r="R196" s="56">
        <f t="shared" si="128"/>
        <v>0</v>
      </c>
      <c r="S196" s="56">
        <f t="shared" si="128"/>
        <v>4.1908900990360456</v>
      </c>
      <c r="T196" s="56">
        <f t="shared" si="128"/>
        <v>1.0727675755248336</v>
      </c>
      <c r="U196" s="56">
        <f t="shared" si="128"/>
        <v>0</v>
      </c>
      <c r="V196" s="56">
        <f t="shared" si="128"/>
        <v>0.70763528079710158</v>
      </c>
      <c r="W196" s="56">
        <f t="shared" si="128"/>
        <v>0</v>
      </c>
      <c r="X196" s="56">
        <f t="shared" si="128"/>
        <v>0.32081693958215701</v>
      </c>
      <c r="Y196" s="56">
        <f t="shared" si="128"/>
        <v>0</v>
      </c>
      <c r="Z196" s="56">
        <f t="shared" si="128"/>
        <v>0</v>
      </c>
      <c r="AB196" s="56" t="e">
        <f t="shared" si="119"/>
        <v>#REF!</v>
      </c>
      <c r="AC196" s="56" t="e">
        <f t="shared" si="119"/>
        <v>#REF!</v>
      </c>
      <c r="AD196" s="56" t="e">
        <f t="shared" si="119"/>
        <v>#REF!</v>
      </c>
    </row>
    <row r="197" spans="1:30">
      <c r="A197" s="58" t="str">
        <f t="shared" si="117"/>
        <v>Transportation Improvements (Primary and Secondary road construction)</v>
      </c>
      <c r="B197" s="23"/>
      <c r="C197" s="23"/>
      <c r="D197" s="23"/>
      <c r="E197" s="23"/>
      <c r="F197" s="56">
        <f t="shared" ref="F197:Z197" si="129">F71/1000000*$K$2/F$2</f>
        <v>0</v>
      </c>
      <c r="G197" s="56"/>
      <c r="H197" s="56">
        <f t="shared" si="129"/>
        <v>0</v>
      </c>
      <c r="I197" s="56">
        <f t="shared" si="129"/>
        <v>0</v>
      </c>
      <c r="J197" s="56">
        <f t="shared" si="129"/>
        <v>0.2</v>
      </c>
      <c r="K197" s="56">
        <f t="shared" si="129"/>
        <v>0.2</v>
      </c>
      <c r="L197" s="56">
        <f t="shared" si="129"/>
        <v>0.20324444595481644</v>
      </c>
      <c r="M197" s="56">
        <f t="shared" si="129"/>
        <v>0.25777704621238873</v>
      </c>
      <c r="N197" s="56">
        <f t="shared" si="129"/>
        <v>0</v>
      </c>
      <c r="O197" s="56">
        <f t="shared" si="129"/>
        <v>0</v>
      </c>
      <c r="P197" s="56">
        <f t="shared" si="129"/>
        <v>0</v>
      </c>
      <c r="Q197" s="56">
        <f t="shared" si="129"/>
        <v>0</v>
      </c>
      <c r="R197" s="56">
        <f t="shared" si="129"/>
        <v>1.1417665821042851</v>
      </c>
      <c r="S197" s="56">
        <f t="shared" si="129"/>
        <v>1.1742865410052912</v>
      </c>
      <c r="T197" s="56">
        <f t="shared" si="129"/>
        <v>1.2121667520054618</v>
      </c>
      <c r="U197" s="56">
        <f t="shared" si="129"/>
        <v>0</v>
      </c>
      <c r="V197" s="56">
        <f t="shared" si="129"/>
        <v>0</v>
      </c>
      <c r="W197" s="56">
        <f t="shared" si="129"/>
        <v>0.4605761997405966</v>
      </c>
      <c r="X197" s="56">
        <f t="shared" si="129"/>
        <v>0.56581013223131948</v>
      </c>
      <c r="Y197" s="56">
        <f t="shared" si="129"/>
        <v>1.6049117361595049</v>
      </c>
      <c r="Z197" s="56">
        <f t="shared" si="129"/>
        <v>0</v>
      </c>
      <c r="AB197" s="56" t="e">
        <f t="shared" si="119"/>
        <v>#REF!</v>
      </c>
      <c r="AC197" s="56" t="e">
        <f t="shared" si="119"/>
        <v>#REF!</v>
      </c>
      <c r="AD197" s="56" t="e">
        <f t="shared" si="119"/>
        <v>#REF!</v>
      </c>
    </row>
    <row r="198" spans="1:30">
      <c r="A198" s="58" t="str">
        <f t="shared" si="117"/>
        <v xml:space="preserve">Pedestrian Walkway Improvements   </v>
      </c>
      <c r="B198" s="23"/>
      <c r="C198" s="23"/>
      <c r="D198" s="23"/>
      <c r="E198" s="23"/>
      <c r="F198" s="56">
        <f t="shared" ref="F198:Z198" si="130">F72/1000000*$K$2/F$2</f>
        <v>0.29033974347031966</v>
      </c>
      <c r="G198" s="56"/>
      <c r="H198" s="56">
        <f t="shared" si="130"/>
        <v>0.29513034923757991</v>
      </c>
      <c r="I198" s="56">
        <f t="shared" si="130"/>
        <v>0.29513034923757991</v>
      </c>
      <c r="J198" s="56">
        <f t="shared" si="130"/>
        <v>0.3</v>
      </c>
      <c r="K198" s="56">
        <f t="shared" si="130"/>
        <v>0.3</v>
      </c>
      <c r="L198" s="56">
        <f t="shared" si="130"/>
        <v>0.30486666893222469</v>
      </c>
      <c r="M198" s="56">
        <f t="shared" si="130"/>
        <v>0.10311081848495551</v>
      </c>
      <c r="N198" s="56">
        <f t="shared" si="130"/>
        <v>0</v>
      </c>
      <c r="O198" s="56">
        <f t="shared" si="130"/>
        <v>0</v>
      </c>
      <c r="P198" s="56">
        <f t="shared" si="130"/>
        <v>0</v>
      </c>
      <c r="Q198" s="56">
        <f t="shared" si="130"/>
        <v>0</v>
      </c>
      <c r="R198" s="56">
        <f t="shared" si="130"/>
        <v>0.57659212396266402</v>
      </c>
      <c r="S198" s="56">
        <f t="shared" si="130"/>
        <v>0</v>
      </c>
      <c r="T198" s="56">
        <f t="shared" si="130"/>
        <v>0.45456253200204816</v>
      </c>
      <c r="U198" s="56">
        <f t="shared" si="130"/>
        <v>0</v>
      </c>
      <c r="V198" s="56">
        <f t="shared" si="130"/>
        <v>0</v>
      </c>
      <c r="W198" s="56">
        <f t="shared" si="130"/>
        <v>0</v>
      </c>
      <c r="X198" s="56">
        <f t="shared" si="130"/>
        <v>1.0693897986071901</v>
      </c>
      <c r="Y198" s="56">
        <f t="shared" si="130"/>
        <v>1.5122519357336435</v>
      </c>
      <c r="Z198" s="56">
        <f t="shared" si="130"/>
        <v>2.8419707883153267</v>
      </c>
      <c r="AB198" s="56" t="e">
        <f t="shared" si="119"/>
        <v>#REF!</v>
      </c>
      <c r="AC198" s="56" t="e">
        <f t="shared" si="119"/>
        <v>#REF!</v>
      </c>
      <c r="AD198" s="56" t="e">
        <f t="shared" si="119"/>
        <v>#REF!</v>
      </c>
    </row>
    <row r="199" spans="1:30">
      <c r="A199" s="58" t="str">
        <f t="shared" si="117"/>
        <v xml:space="preserve">Public Safety Construction   </v>
      </c>
      <c r="B199" s="23"/>
      <c r="C199" s="23"/>
      <c r="D199" s="23"/>
      <c r="E199" s="23"/>
      <c r="F199" s="56">
        <f t="shared" ref="F199:Z199" si="131">F73/1000000*$K$2/F$2</f>
        <v>0</v>
      </c>
      <c r="G199" s="56"/>
      <c r="H199" s="56">
        <f t="shared" si="131"/>
        <v>5.6566650270536156</v>
      </c>
      <c r="I199" s="56">
        <f t="shared" si="131"/>
        <v>0</v>
      </c>
      <c r="J199" s="56">
        <f t="shared" si="131"/>
        <v>0</v>
      </c>
      <c r="K199" s="56">
        <f t="shared" si="131"/>
        <v>0</v>
      </c>
      <c r="L199" s="56">
        <f t="shared" si="131"/>
        <v>0</v>
      </c>
      <c r="M199" s="56">
        <f t="shared" si="131"/>
        <v>0.25014169010357779</v>
      </c>
      <c r="N199" s="56">
        <f t="shared" si="131"/>
        <v>0</v>
      </c>
      <c r="O199" s="56">
        <f t="shared" si="131"/>
        <v>0.86853346540949738</v>
      </c>
      <c r="P199" s="56">
        <f t="shared" si="131"/>
        <v>0.88277981575827646</v>
      </c>
      <c r="Q199" s="56">
        <f t="shared" si="131"/>
        <v>5.3008942322556285</v>
      </c>
      <c r="R199" s="56">
        <f t="shared" si="131"/>
        <v>8.6833061218904035</v>
      </c>
      <c r="S199" s="56">
        <f t="shared" si="131"/>
        <v>22.834001789847889</v>
      </c>
      <c r="T199" s="56">
        <f t="shared" si="131"/>
        <v>40.109640212126649</v>
      </c>
      <c r="U199" s="56">
        <f t="shared" si="131"/>
        <v>37.153473002263105</v>
      </c>
      <c r="V199" s="56">
        <f t="shared" si="131"/>
        <v>0</v>
      </c>
      <c r="W199" s="56">
        <f t="shared" si="131"/>
        <v>0</v>
      </c>
      <c r="X199" s="56">
        <f t="shared" si="131"/>
        <v>0</v>
      </c>
      <c r="Y199" s="56">
        <f t="shared" si="131"/>
        <v>0</v>
      </c>
      <c r="Z199" s="56">
        <f t="shared" si="131"/>
        <v>0</v>
      </c>
      <c r="AB199" s="56" t="e">
        <f t="shared" si="119"/>
        <v>#REF!</v>
      </c>
      <c r="AC199" s="56" t="e">
        <f t="shared" si="119"/>
        <v>#REF!</v>
      </c>
      <c r="AD199" s="56" t="e">
        <f t="shared" si="119"/>
        <v>#REF!</v>
      </c>
    </row>
    <row r="200" spans="1:30">
      <c r="A200" s="58" t="str">
        <f t="shared" si="117"/>
        <v>Commercial Revitalization Program</v>
      </c>
      <c r="B200" s="23"/>
      <c r="C200" s="23"/>
      <c r="D200" s="23"/>
      <c r="E200" s="23"/>
      <c r="F200" s="56">
        <f t="shared" ref="F200:Z200" si="132">F74/1000000*$K$2/F$2</f>
        <v>0</v>
      </c>
      <c r="G200" s="56"/>
      <c r="H200" s="56">
        <f t="shared" si="132"/>
        <v>0</v>
      </c>
      <c r="I200" s="56">
        <f t="shared" si="132"/>
        <v>0</v>
      </c>
      <c r="J200" s="56">
        <f t="shared" si="132"/>
        <v>0</v>
      </c>
      <c r="K200" s="56">
        <f t="shared" si="132"/>
        <v>0</v>
      </c>
      <c r="L200" s="56">
        <f t="shared" si="132"/>
        <v>0.96541111828537796</v>
      </c>
      <c r="M200" s="56">
        <f t="shared" si="132"/>
        <v>0</v>
      </c>
      <c r="N200" s="56">
        <f t="shared" si="132"/>
        <v>0</v>
      </c>
      <c r="O200" s="56">
        <f t="shared" si="132"/>
        <v>0</v>
      </c>
      <c r="P200" s="56">
        <f t="shared" si="132"/>
        <v>0</v>
      </c>
      <c r="Q200" s="56">
        <f t="shared" si="132"/>
        <v>0</v>
      </c>
      <c r="R200" s="56">
        <f t="shared" si="132"/>
        <v>0</v>
      </c>
      <c r="S200" s="56">
        <f t="shared" si="132"/>
        <v>0</v>
      </c>
      <c r="T200" s="56">
        <f t="shared" si="132"/>
        <v>0</v>
      </c>
      <c r="U200" s="56">
        <f t="shared" si="132"/>
        <v>0</v>
      </c>
      <c r="V200" s="56">
        <f t="shared" si="132"/>
        <v>0</v>
      </c>
      <c r="W200" s="56">
        <f t="shared" si="132"/>
        <v>0</v>
      </c>
      <c r="X200" s="56">
        <f t="shared" si="132"/>
        <v>0</v>
      </c>
      <c r="Y200" s="56">
        <f t="shared" si="132"/>
        <v>0</v>
      </c>
      <c r="Z200" s="56">
        <f t="shared" si="132"/>
        <v>0</v>
      </c>
      <c r="AB200" s="56" t="e">
        <f t="shared" si="119"/>
        <v>#REF!</v>
      </c>
      <c r="AC200" s="56" t="e">
        <f t="shared" si="119"/>
        <v>#REF!</v>
      </c>
      <c r="AD200" s="56" t="e">
        <f t="shared" si="119"/>
        <v>#REF!</v>
      </c>
    </row>
    <row r="201" spans="1:30">
      <c r="A201" s="58" t="str">
        <f t="shared" si="117"/>
        <v>The Penny for Affordable Housing Fund</v>
      </c>
      <c r="B201" s="23"/>
      <c r="C201" s="23"/>
      <c r="D201" s="23"/>
      <c r="E201" s="23"/>
      <c r="F201" s="56">
        <f t="shared" ref="F201:Z201" si="133">F75/1000000*$K$2/F$2</f>
        <v>0</v>
      </c>
      <c r="G201" s="56"/>
      <c r="H201" s="56">
        <f t="shared" si="133"/>
        <v>0</v>
      </c>
      <c r="I201" s="56">
        <f t="shared" si="133"/>
        <v>0</v>
      </c>
      <c r="J201" s="56">
        <f t="shared" si="133"/>
        <v>0</v>
      </c>
      <c r="K201" s="56">
        <f t="shared" si="133"/>
        <v>0</v>
      </c>
      <c r="L201" s="56">
        <f t="shared" si="133"/>
        <v>1.0759252857733097</v>
      </c>
      <c r="M201" s="56">
        <f t="shared" si="133"/>
        <v>0</v>
      </c>
      <c r="N201" s="56">
        <f t="shared" si="133"/>
        <v>0</v>
      </c>
      <c r="O201" s="56">
        <f t="shared" si="133"/>
        <v>0</v>
      </c>
      <c r="P201" s="56">
        <f t="shared" si="133"/>
        <v>0</v>
      </c>
      <c r="Q201" s="56">
        <f t="shared" si="133"/>
        <v>0</v>
      </c>
      <c r="R201" s="56">
        <f t="shared" si="133"/>
        <v>0</v>
      </c>
      <c r="S201" s="56">
        <f t="shared" si="133"/>
        <v>21.019729083994708</v>
      </c>
      <c r="T201" s="56">
        <f t="shared" si="133"/>
        <v>0</v>
      </c>
      <c r="U201" s="56">
        <f t="shared" si="133"/>
        <v>0</v>
      </c>
      <c r="V201" s="56">
        <f t="shared" si="133"/>
        <v>0</v>
      </c>
      <c r="W201" s="56">
        <f t="shared" si="133"/>
        <v>0</v>
      </c>
      <c r="X201" s="56">
        <f t="shared" si="133"/>
        <v>0</v>
      </c>
      <c r="Y201" s="56">
        <f t="shared" si="133"/>
        <v>0</v>
      </c>
      <c r="Z201" s="56">
        <f t="shared" si="133"/>
        <v>0</v>
      </c>
      <c r="AB201" s="56" t="e">
        <f t="shared" si="119"/>
        <v>#REF!</v>
      </c>
      <c r="AC201" s="56" t="e">
        <f t="shared" si="119"/>
        <v>#REF!</v>
      </c>
      <c r="AD201" s="56" t="e">
        <f t="shared" si="119"/>
        <v>#REF!</v>
      </c>
    </row>
    <row r="202" spans="1:30">
      <c r="A202" s="58" t="str">
        <f t="shared" si="117"/>
        <v xml:space="preserve">Housing Assistance Program   </v>
      </c>
      <c r="B202" s="23"/>
      <c r="C202" s="23"/>
      <c r="D202" s="23"/>
      <c r="E202" s="23"/>
      <c r="F202" s="56">
        <f t="shared" ref="F202:Z202" si="134">F76/1000000*$K$2/F$2</f>
        <v>0</v>
      </c>
      <c r="G202" s="56"/>
      <c r="H202" s="56">
        <f t="shared" si="134"/>
        <v>0</v>
      </c>
      <c r="I202" s="56">
        <f t="shared" si="134"/>
        <v>0</v>
      </c>
      <c r="J202" s="56">
        <f t="shared" si="134"/>
        <v>0</v>
      </c>
      <c r="K202" s="56">
        <f t="shared" si="134"/>
        <v>0</v>
      </c>
      <c r="L202" s="56">
        <f t="shared" si="134"/>
        <v>0</v>
      </c>
      <c r="M202" s="56">
        <f t="shared" si="134"/>
        <v>0.53102071519752081</v>
      </c>
      <c r="N202" s="56">
        <f t="shared" si="134"/>
        <v>0.54200932474335661</v>
      </c>
      <c r="O202" s="56">
        <f t="shared" si="134"/>
        <v>0.55911841835736387</v>
      </c>
      <c r="P202" s="56">
        <f t="shared" si="134"/>
        <v>0.76691496494000255</v>
      </c>
      <c r="Q202" s="56">
        <f t="shared" si="134"/>
        <v>0.56585532840152419</v>
      </c>
      <c r="R202" s="56">
        <f t="shared" si="134"/>
        <v>1.4671700580040063</v>
      </c>
      <c r="S202" s="56">
        <f t="shared" si="134"/>
        <v>1.0979579158399473</v>
      </c>
      <c r="T202" s="56">
        <f t="shared" si="134"/>
        <v>3.5577094171360302</v>
      </c>
      <c r="U202" s="56">
        <f t="shared" si="134"/>
        <v>1.1717750970531147</v>
      </c>
      <c r="V202" s="56">
        <f t="shared" si="134"/>
        <v>2.058575362318841</v>
      </c>
      <c r="W202" s="56">
        <f t="shared" si="134"/>
        <v>2.4344741986288683</v>
      </c>
      <c r="X202" s="56">
        <f t="shared" si="134"/>
        <v>3.8543535285789581</v>
      </c>
      <c r="Y202" s="56">
        <f t="shared" si="134"/>
        <v>0.68738724351529246</v>
      </c>
      <c r="Z202" s="56">
        <f t="shared" si="134"/>
        <v>0.45471532613045229</v>
      </c>
      <c r="AB202" s="56" t="e">
        <f t="shared" si="119"/>
        <v>#REF!</v>
      </c>
      <c r="AC202" s="56" t="e">
        <f t="shared" si="119"/>
        <v>#REF!</v>
      </c>
      <c r="AD202" s="56" t="e">
        <f t="shared" si="119"/>
        <v>#REF!</v>
      </c>
    </row>
    <row r="203" spans="1:30">
      <c r="A203" s="58" t="str">
        <f t="shared" si="117"/>
        <v xml:space="preserve">County Transit Systems   </v>
      </c>
      <c r="B203" s="23"/>
      <c r="C203" s="23"/>
      <c r="D203" s="23"/>
      <c r="E203" s="23"/>
      <c r="F203" s="56">
        <f t="shared" ref="F203:Z203" si="135">F77/1000000*$K$2/F$2</f>
        <v>33.43527226246519</v>
      </c>
      <c r="G203" s="56"/>
      <c r="H203" s="56">
        <f t="shared" si="135"/>
        <v>33.986954254795869</v>
      </c>
      <c r="I203" s="56">
        <f t="shared" si="135"/>
        <v>33.986954254795869</v>
      </c>
      <c r="J203" s="56">
        <f t="shared" si="135"/>
        <v>34.547739</v>
      </c>
      <c r="K203" s="56">
        <f t="shared" si="135"/>
        <v>34.547739</v>
      </c>
      <c r="L203" s="56">
        <f t="shared" si="135"/>
        <v>37.140624819781188</v>
      </c>
      <c r="M203" s="56">
        <f t="shared" si="135"/>
        <v>35.527329503136521</v>
      </c>
      <c r="N203" s="56">
        <f t="shared" si="135"/>
        <v>33.669879207044126</v>
      </c>
      <c r="O203" s="56">
        <f t="shared" si="135"/>
        <v>23.40954666617673</v>
      </c>
      <c r="P203" s="56">
        <f t="shared" si="135"/>
        <v>36.830768976610877</v>
      </c>
      <c r="Q203" s="56">
        <f t="shared" si="135"/>
        <v>38.118151344547762</v>
      </c>
      <c r="R203" s="56">
        <f t="shared" si="135"/>
        <v>35.38963751327919</v>
      </c>
      <c r="S203" s="56">
        <f t="shared" si="135"/>
        <v>30.986569475121534</v>
      </c>
      <c r="T203" s="56">
        <f t="shared" si="135"/>
        <v>25.892060011349209</v>
      </c>
      <c r="U203" s="56">
        <f t="shared" si="135"/>
        <v>24.621053854844714</v>
      </c>
      <c r="V203" s="56">
        <f t="shared" si="135"/>
        <v>23.080288929300725</v>
      </c>
      <c r="W203" s="56">
        <f t="shared" si="135"/>
        <v>21.137924926450804</v>
      </c>
      <c r="X203" s="56">
        <f t="shared" si="135"/>
        <v>21.25681978308489</v>
      </c>
      <c r="Y203" s="56">
        <f t="shared" si="135"/>
        <v>25.814030561014327</v>
      </c>
      <c r="Z203" s="56">
        <f t="shared" si="135"/>
        <v>29.723146523535416</v>
      </c>
      <c r="AB203" s="56" t="e">
        <f t="shared" si="119"/>
        <v>#REF!</v>
      </c>
      <c r="AC203" s="56" t="e">
        <f t="shared" si="119"/>
        <v>#REF!</v>
      </c>
      <c r="AD203" s="56" t="e">
        <f t="shared" si="119"/>
        <v>#REF!</v>
      </c>
    </row>
    <row r="204" spans="1:30">
      <c r="A204" s="58" t="str">
        <f t="shared" si="117"/>
        <v xml:space="preserve">Fairfax-Falls Church Community Services Board </v>
      </c>
      <c r="B204" s="23"/>
      <c r="C204" s="23"/>
      <c r="D204" s="23"/>
      <c r="E204" s="23"/>
      <c r="F204" s="56">
        <f t="shared" ref="F204:Z204" si="136">F78/1000000*$K$2/F$2</f>
        <v>111.19470013832269</v>
      </c>
      <c r="G204" s="56"/>
      <c r="H204" s="56">
        <f t="shared" si="136"/>
        <v>111.47684702410231</v>
      </c>
      <c r="I204" s="56">
        <f t="shared" si="136"/>
        <v>111.47684702410231</v>
      </c>
      <c r="J204" s="56">
        <f t="shared" si="136"/>
        <v>110.081034</v>
      </c>
      <c r="K204" s="56">
        <f t="shared" si="136"/>
        <v>110.041222</v>
      </c>
      <c r="L204" s="56">
        <f t="shared" si="136"/>
        <v>111.38864195998549</v>
      </c>
      <c r="M204" s="56">
        <f t="shared" si="136"/>
        <v>103.62264202796749</v>
      </c>
      <c r="N204" s="56">
        <f t="shared" si="136"/>
        <v>98.011185204606434</v>
      </c>
      <c r="O204" s="56">
        <f t="shared" si="136"/>
        <v>101.63473193972574</v>
      </c>
      <c r="P204" s="56">
        <f t="shared" si="136"/>
        <v>111.92636287798608</v>
      </c>
      <c r="Q204" s="56">
        <f t="shared" si="136"/>
        <v>110.30437139083449</v>
      </c>
      <c r="R204" s="56">
        <f t="shared" si="136"/>
        <v>111.81986930231213</v>
      </c>
      <c r="S204" s="56">
        <f t="shared" si="136"/>
        <v>106.83332615836393</v>
      </c>
      <c r="T204" s="56">
        <f t="shared" si="136"/>
        <v>99.479227031356032</v>
      </c>
      <c r="U204" s="56">
        <f t="shared" si="136"/>
        <v>101.0107292089333</v>
      </c>
      <c r="V204" s="56">
        <f t="shared" si="136"/>
        <v>100.87222559679348</v>
      </c>
      <c r="W204" s="56">
        <f t="shared" si="136"/>
        <v>98.161088181118231</v>
      </c>
      <c r="X204" s="56">
        <f t="shared" si="136"/>
        <v>90.8134880055769</v>
      </c>
      <c r="Y204" s="56">
        <f t="shared" si="136"/>
        <v>80.671241735100665</v>
      </c>
      <c r="Z204" s="56">
        <f t="shared" si="136"/>
        <v>74.588515187140871</v>
      </c>
      <c r="AB204" s="56" t="e">
        <f t="shared" si="119"/>
        <v>#REF!</v>
      </c>
      <c r="AC204" s="56" t="e">
        <f t="shared" si="119"/>
        <v>#REF!</v>
      </c>
      <c r="AD204" s="56" t="e">
        <f t="shared" si="119"/>
        <v>#REF!</v>
      </c>
    </row>
    <row r="205" spans="1:30">
      <c r="A205" s="58" t="str">
        <f t="shared" si="117"/>
        <v xml:space="preserve">E-911 Fund    </v>
      </c>
      <c r="B205" s="23"/>
      <c r="C205" s="23"/>
      <c r="D205" s="23"/>
      <c r="E205" s="23"/>
      <c r="F205" s="56">
        <f t="shared" ref="F205:Z205" si="137">F79/1000000*$K$2/F$2</f>
        <v>0</v>
      </c>
      <c r="G205" s="56"/>
      <c r="H205" s="56">
        <f t="shared" si="137"/>
        <v>0</v>
      </c>
      <c r="I205" s="56">
        <f t="shared" si="137"/>
        <v>0</v>
      </c>
      <c r="J205" s="56">
        <f t="shared" si="137"/>
        <v>17.279271000000001</v>
      </c>
      <c r="K205" s="56">
        <f t="shared" si="137"/>
        <v>17.279271000000001</v>
      </c>
      <c r="L205" s="56">
        <f t="shared" si="137"/>
        <v>15.504276958328163</v>
      </c>
      <c r="M205" s="56">
        <f t="shared" si="137"/>
        <v>14.824234124716572</v>
      </c>
      <c r="N205" s="56">
        <f t="shared" si="137"/>
        <v>14.795594788480591</v>
      </c>
      <c r="O205" s="56">
        <f t="shared" si="137"/>
        <v>11.750239431502306</v>
      </c>
      <c r="P205" s="56">
        <f t="shared" si="137"/>
        <v>11.703077122518883</v>
      </c>
      <c r="Q205" s="56">
        <f t="shared" si="137"/>
        <v>9.8778334047528382</v>
      </c>
      <c r="R205" s="56">
        <f t="shared" si="137"/>
        <v>10.152916135080368</v>
      </c>
      <c r="S205" s="56">
        <f t="shared" si="137"/>
        <v>16.140871472045308</v>
      </c>
      <c r="T205" s="56">
        <f t="shared" si="137"/>
        <v>11.825740038720774</v>
      </c>
      <c r="U205" s="56">
        <f t="shared" si="137"/>
        <v>7.9253892220142941</v>
      </c>
      <c r="V205" s="56">
        <f t="shared" si="137"/>
        <v>8.9729414482481893</v>
      </c>
      <c r="W205" s="56">
        <f t="shared" si="137"/>
        <v>6.9628278121104321</v>
      </c>
      <c r="X205" s="56">
        <f t="shared" si="137"/>
        <v>3.4587341093214761</v>
      </c>
      <c r="Y205" s="56">
        <f t="shared" si="137"/>
        <v>0</v>
      </c>
      <c r="Z205" s="56">
        <f t="shared" si="137"/>
        <v>0</v>
      </c>
      <c r="AB205" s="56" t="e">
        <f t="shared" si="119"/>
        <v>#REF!</v>
      </c>
      <c r="AC205" s="56" t="e">
        <f t="shared" si="119"/>
        <v>#REF!</v>
      </c>
      <c r="AD205" s="56" t="e">
        <f t="shared" si="119"/>
        <v>#REF!</v>
      </c>
    </row>
    <row r="206" spans="1:30">
      <c r="A206" s="58" t="str">
        <f t="shared" si="117"/>
        <v>Stormwater Services</v>
      </c>
      <c r="B206" s="23"/>
      <c r="C206" s="23"/>
      <c r="D206" s="23"/>
      <c r="E206" s="23"/>
      <c r="F206" s="56">
        <f t="shared" ref="F206:Z206" si="138">F80/1000000*$K$2/F$2</f>
        <v>0</v>
      </c>
      <c r="G206" s="56"/>
      <c r="H206" s="56">
        <f t="shared" si="138"/>
        <v>0</v>
      </c>
      <c r="I206" s="56">
        <f t="shared" si="138"/>
        <v>0</v>
      </c>
      <c r="J206" s="56">
        <f t="shared" si="138"/>
        <v>0</v>
      </c>
      <c r="K206" s="56">
        <f t="shared" si="138"/>
        <v>0</v>
      </c>
      <c r="L206" s="56">
        <f t="shared" si="138"/>
        <v>0</v>
      </c>
      <c r="M206" s="56">
        <f t="shared" si="138"/>
        <v>0</v>
      </c>
      <c r="N206" s="56">
        <f t="shared" si="138"/>
        <v>0</v>
      </c>
      <c r="O206" s="56">
        <f t="shared" si="138"/>
        <v>0.39406123292411122</v>
      </c>
      <c r="P206" s="56">
        <f t="shared" si="138"/>
        <v>0</v>
      </c>
      <c r="Q206" s="56">
        <f t="shared" si="138"/>
        <v>0</v>
      </c>
      <c r="R206" s="56">
        <f t="shared" si="138"/>
        <v>0</v>
      </c>
      <c r="S206" s="56">
        <f t="shared" si="138"/>
        <v>0</v>
      </c>
      <c r="T206" s="56">
        <f t="shared" si="138"/>
        <v>0</v>
      </c>
      <c r="U206" s="56">
        <f t="shared" si="138"/>
        <v>0</v>
      </c>
      <c r="V206" s="56">
        <f t="shared" si="138"/>
        <v>0</v>
      </c>
      <c r="W206" s="56">
        <f t="shared" si="138"/>
        <v>0</v>
      </c>
      <c r="X206" s="56">
        <f t="shared" si="138"/>
        <v>0</v>
      </c>
      <c r="Y206" s="56">
        <f t="shared" si="138"/>
        <v>0</v>
      </c>
      <c r="Z206" s="56">
        <f t="shared" si="138"/>
        <v>0</v>
      </c>
      <c r="AB206" s="56" t="e">
        <f t="shared" ref="AB206:AD225" si="139">AB80/1000000*$K$2/AB$2</f>
        <v>#REF!</v>
      </c>
      <c r="AC206" s="56" t="e">
        <f t="shared" si="139"/>
        <v>#REF!</v>
      </c>
      <c r="AD206" s="56" t="e">
        <f t="shared" si="139"/>
        <v>#REF!</v>
      </c>
    </row>
    <row r="207" spans="1:30">
      <c r="A207" s="58" t="str">
        <f t="shared" si="117"/>
        <v xml:space="preserve">Refuse Collection and Recycling Operations </v>
      </c>
      <c r="B207" s="23"/>
      <c r="C207" s="23"/>
      <c r="D207" s="23"/>
      <c r="E207" s="23"/>
      <c r="F207" s="56">
        <f t="shared" ref="F207:Z207" si="140">F81/1000000*$K$2/F$2</f>
        <v>0</v>
      </c>
      <c r="G207" s="56"/>
      <c r="H207" s="56">
        <f t="shared" si="140"/>
        <v>0</v>
      </c>
      <c r="I207" s="56">
        <f t="shared" si="140"/>
        <v>0</v>
      </c>
      <c r="J207" s="56">
        <f t="shared" si="140"/>
        <v>0</v>
      </c>
      <c r="K207" s="56">
        <f t="shared" si="140"/>
        <v>0</v>
      </c>
      <c r="L207" s="56">
        <f t="shared" si="140"/>
        <v>0</v>
      </c>
      <c r="M207" s="56">
        <f t="shared" si="140"/>
        <v>0</v>
      </c>
      <c r="N207" s="56">
        <f t="shared" si="140"/>
        <v>0</v>
      </c>
      <c r="O207" s="56">
        <f t="shared" si="140"/>
        <v>0</v>
      </c>
      <c r="P207" s="56">
        <f t="shared" si="140"/>
        <v>0</v>
      </c>
      <c r="Q207" s="56">
        <f t="shared" si="140"/>
        <v>0</v>
      </c>
      <c r="R207" s="56">
        <f t="shared" si="140"/>
        <v>0.10275899238938564</v>
      </c>
      <c r="S207" s="56">
        <f t="shared" si="140"/>
        <v>0.24660017361111114</v>
      </c>
      <c r="T207" s="56">
        <f t="shared" si="140"/>
        <v>0.25455501792114693</v>
      </c>
      <c r="U207" s="56">
        <f t="shared" si="140"/>
        <v>0</v>
      </c>
      <c r="V207" s="56">
        <f t="shared" si="140"/>
        <v>1.2379757585144929E-2</v>
      </c>
      <c r="W207" s="56">
        <f t="shared" si="140"/>
        <v>0</v>
      </c>
      <c r="X207" s="56">
        <f t="shared" si="140"/>
        <v>0</v>
      </c>
      <c r="Y207" s="56">
        <f t="shared" si="140"/>
        <v>0</v>
      </c>
      <c r="Z207" s="56">
        <f t="shared" si="140"/>
        <v>0</v>
      </c>
      <c r="AB207" s="56" t="e">
        <f t="shared" si="139"/>
        <v>#REF!</v>
      </c>
      <c r="AC207" s="56" t="e">
        <f t="shared" si="139"/>
        <v>#REF!</v>
      </c>
      <c r="AD207" s="56" t="e">
        <f t="shared" si="139"/>
        <v>#REF!</v>
      </c>
    </row>
    <row r="208" spans="1:30">
      <c r="A208" s="58" t="str">
        <f t="shared" si="117"/>
        <v xml:space="preserve">Refuse Disposal    </v>
      </c>
      <c r="B208" s="23"/>
      <c r="C208" s="23"/>
      <c r="D208" s="23"/>
      <c r="E208" s="23"/>
      <c r="F208" s="56">
        <f t="shared" ref="F208:Z208" si="141">F82/1000000*$K$2/F$2</f>
        <v>0</v>
      </c>
      <c r="G208" s="56"/>
      <c r="H208" s="56">
        <f t="shared" si="141"/>
        <v>0</v>
      </c>
      <c r="I208" s="56">
        <f t="shared" si="141"/>
        <v>0</v>
      </c>
      <c r="J208" s="56">
        <f t="shared" si="141"/>
        <v>0</v>
      </c>
      <c r="K208" s="56">
        <f t="shared" si="141"/>
        <v>0</v>
      </c>
      <c r="L208" s="56">
        <f t="shared" si="141"/>
        <v>0</v>
      </c>
      <c r="M208" s="56">
        <f t="shared" si="141"/>
        <v>0</v>
      </c>
      <c r="N208" s="56">
        <f t="shared" si="141"/>
        <v>0</v>
      </c>
      <c r="O208" s="56">
        <f t="shared" si="141"/>
        <v>0</v>
      </c>
      <c r="P208" s="56">
        <f t="shared" si="141"/>
        <v>0</v>
      </c>
      <c r="Q208" s="56">
        <f t="shared" si="141"/>
        <v>2.7488721321424534</v>
      </c>
      <c r="R208" s="56">
        <f t="shared" si="141"/>
        <v>2.8544164552607123</v>
      </c>
      <c r="S208" s="56">
        <f t="shared" si="141"/>
        <v>2.9357163525132277</v>
      </c>
      <c r="T208" s="56">
        <f t="shared" si="141"/>
        <v>3.0304168800136542</v>
      </c>
      <c r="U208" s="56">
        <f t="shared" si="141"/>
        <v>2.2558237162519852</v>
      </c>
      <c r="V208" s="56">
        <f t="shared" si="141"/>
        <v>4.42502482277808</v>
      </c>
      <c r="W208" s="56">
        <f t="shared" si="141"/>
        <v>7.2376259959236622</v>
      </c>
      <c r="X208" s="56">
        <f t="shared" si="141"/>
        <v>0</v>
      </c>
      <c r="Y208" s="56">
        <f t="shared" si="141"/>
        <v>2.0621617305458773</v>
      </c>
      <c r="Z208" s="56">
        <f t="shared" si="141"/>
        <v>0</v>
      </c>
      <c r="AB208" s="56" t="e">
        <f t="shared" si="139"/>
        <v>#REF!</v>
      </c>
      <c r="AC208" s="56" t="e">
        <f t="shared" si="139"/>
        <v>#REF!</v>
      </c>
      <c r="AD208" s="56" t="e">
        <f t="shared" si="139"/>
        <v>#REF!</v>
      </c>
    </row>
    <row r="209" spans="1:30">
      <c r="A209" s="58" t="str">
        <f t="shared" si="117"/>
        <v xml:space="preserve">Energy Resource Recovery (ERR) Facility </v>
      </c>
      <c r="B209" s="23"/>
      <c r="C209" s="23"/>
      <c r="D209" s="23"/>
      <c r="E209" s="23"/>
      <c r="F209" s="56">
        <f t="shared" ref="F209:Z209" si="142">F83/1000000*$K$2/F$2</f>
        <v>0</v>
      </c>
      <c r="G209" s="56"/>
      <c r="H209" s="56">
        <f t="shared" si="142"/>
        <v>0</v>
      </c>
      <c r="I209" s="56">
        <f t="shared" si="142"/>
        <v>0</v>
      </c>
      <c r="J209" s="56">
        <f t="shared" si="142"/>
        <v>0</v>
      </c>
      <c r="K209" s="56">
        <f t="shared" si="142"/>
        <v>0</v>
      </c>
      <c r="L209" s="56">
        <f t="shared" si="142"/>
        <v>0</v>
      </c>
      <c r="M209" s="56">
        <f t="shared" si="142"/>
        <v>0</v>
      </c>
      <c r="N209" s="56">
        <f t="shared" si="142"/>
        <v>1.8370495696999563</v>
      </c>
      <c r="O209" s="56">
        <f t="shared" si="142"/>
        <v>1.8705040697771829</v>
      </c>
      <c r="P209" s="56">
        <f t="shared" si="142"/>
        <v>1.7209229736075053</v>
      </c>
      <c r="Q209" s="56">
        <f t="shared" si="142"/>
        <v>1.6396054665239224</v>
      </c>
      <c r="R209" s="56">
        <f t="shared" si="142"/>
        <v>1.5592386898851494</v>
      </c>
      <c r="S209" s="56">
        <f t="shared" si="142"/>
        <v>1.8530910960391869</v>
      </c>
      <c r="T209" s="56">
        <f t="shared" si="142"/>
        <v>2.4418965880807306</v>
      </c>
      <c r="U209" s="56">
        <f t="shared" si="142"/>
        <v>2.2103362842491618</v>
      </c>
      <c r="V209" s="56">
        <f t="shared" si="142"/>
        <v>0</v>
      </c>
      <c r="W209" s="56">
        <f t="shared" si="142"/>
        <v>0</v>
      </c>
      <c r="X209" s="56">
        <f t="shared" si="142"/>
        <v>0</v>
      </c>
      <c r="Y209" s="56">
        <f t="shared" si="142"/>
        <v>0</v>
      </c>
      <c r="Z209" s="56">
        <f t="shared" si="142"/>
        <v>0</v>
      </c>
      <c r="AB209" s="56" t="e">
        <f t="shared" si="139"/>
        <v>#REF!</v>
      </c>
      <c r="AC209" s="56" t="e">
        <f t="shared" si="139"/>
        <v>#REF!</v>
      </c>
      <c r="AD209" s="56" t="e">
        <f t="shared" si="139"/>
        <v>#REF!</v>
      </c>
    </row>
    <row r="210" spans="1:30">
      <c r="A210" s="58" t="str">
        <f t="shared" si="117"/>
        <v>Housing Trust Fund</v>
      </c>
      <c r="B210" s="23"/>
      <c r="C210" s="23"/>
      <c r="D210" s="23"/>
      <c r="E210" s="23"/>
      <c r="F210" s="56">
        <f t="shared" ref="F210:Z210" si="143">F84/1000000*$K$2/F$2</f>
        <v>0</v>
      </c>
      <c r="G210" s="56"/>
      <c r="H210" s="56">
        <f t="shared" si="143"/>
        <v>0</v>
      </c>
      <c r="I210" s="56">
        <f t="shared" si="143"/>
        <v>0</v>
      </c>
      <c r="J210" s="56">
        <f t="shared" si="143"/>
        <v>0</v>
      </c>
      <c r="K210" s="56">
        <f t="shared" si="143"/>
        <v>0</v>
      </c>
      <c r="L210" s="56">
        <f t="shared" si="143"/>
        <v>0</v>
      </c>
      <c r="M210" s="56">
        <f t="shared" si="143"/>
        <v>0</v>
      </c>
      <c r="N210" s="56">
        <f t="shared" si="143"/>
        <v>0</v>
      </c>
      <c r="O210" s="56">
        <f t="shared" si="143"/>
        <v>0</v>
      </c>
      <c r="P210" s="56">
        <f t="shared" si="143"/>
        <v>0</v>
      </c>
      <c r="Q210" s="56">
        <f t="shared" si="143"/>
        <v>0</v>
      </c>
      <c r="R210" s="56">
        <f t="shared" si="143"/>
        <v>0</v>
      </c>
      <c r="S210" s="56">
        <f t="shared" si="143"/>
        <v>0</v>
      </c>
      <c r="T210" s="56">
        <f t="shared" si="143"/>
        <v>4.8729103430619558</v>
      </c>
      <c r="U210" s="56">
        <f t="shared" si="143"/>
        <v>1.8798530968766545</v>
      </c>
      <c r="V210" s="56">
        <f t="shared" si="143"/>
        <v>0</v>
      </c>
      <c r="W210" s="56">
        <f t="shared" si="143"/>
        <v>0.39477959977765431</v>
      </c>
      <c r="X210" s="56">
        <f t="shared" si="143"/>
        <v>2.5398007716920761</v>
      </c>
      <c r="Y210" s="56">
        <f t="shared" si="143"/>
        <v>0</v>
      </c>
      <c r="Z210" s="56">
        <f t="shared" si="143"/>
        <v>0</v>
      </c>
      <c r="AB210" s="56" t="e">
        <f t="shared" si="139"/>
        <v>#REF!</v>
      </c>
      <c r="AC210" s="56" t="e">
        <f t="shared" si="139"/>
        <v>#REF!</v>
      </c>
      <c r="AD210" s="56" t="e">
        <f t="shared" si="139"/>
        <v>#REF!</v>
      </c>
    </row>
    <row r="211" spans="1:30">
      <c r="A211" s="58" t="str">
        <f t="shared" si="117"/>
        <v xml:space="preserve">Elderly Housing Programs   </v>
      </c>
      <c r="B211" s="23"/>
      <c r="C211" s="23"/>
      <c r="D211" s="23"/>
      <c r="E211" s="23"/>
      <c r="F211" s="56">
        <f t="shared" ref="F211:Z211" si="144">F85/1000000*$K$2/F$2</f>
        <v>1.8336067769167321</v>
      </c>
      <c r="G211" s="56"/>
      <c r="H211" s="56">
        <f t="shared" si="144"/>
        <v>1.8393339891785538</v>
      </c>
      <c r="I211" s="56">
        <f t="shared" si="144"/>
        <v>1.8393339891785538</v>
      </c>
      <c r="J211" s="56">
        <f t="shared" si="144"/>
        <v>1.864271</v>
      </c>
      <c r="K211" s="56">
        <f t="shared" si="144"/>
        <v>1.864271</v>
      </c>
      <c r="L211" s="56">
        <f t="shared" si="144"/>
        <v>2.0764438334306927</v>
      </c>
      <c r="M211" s="56">
        <f t="shared" si="144"/>
        <v>2.0665294952363356</v>
      </c>
      <c r="N211" s="56">
        <f t="shared" si="144"/>
        <v>2.0935504835196186</v>
      </c>
      <c r="O211" s="56">
        <f t="shared" si="144"/>
        <v>2.2074049440090313</v>
      </c>
      <c r="P211" s="56">
        <f t="shared" si="144"/>
        <v>1.646078693877979</v>
      </c>
      <c r="Q211" s="56">
        <f t="shared" si="144"/>
        <v>1.6772672138319797</v>
      </c>
      <c r="R211" s="56">
        <f t="shared" si="144"/>
        <v>1.9353537285290325</v>
      </c>
      <c r="S211" s="56">
        <f t="shared" si="144"/>
        <v>1.6315783800901127</v>
      </c>
      <c r="T211" s="56">
        <f t="shared" si="144"/>
        <v>1.6822983537702683</v>
      </c>
      <c r="U211" s="56">
        <f t="shared" si="144"/>
        <v>1.5232236593973885</v>
      </c>
      <c r="V211" s="56">
        <f t="shared" si="144"/>
        <v>1.5921459299438405</v>
      </c>
      <c r="W211" s="56">
        <f t="shared" si="144"/>
        <v>1.5668289101695387</v>
      </c>
      <c r="X211" s="56">
        <f t="shared" si="144"/>
        <v>1.8171659622322609</v>
      </c>
      <c r="Y211" s="56">
        <f t="shared" si="144"/>
        <v>1.8313714635356177</v>
      </c>
      <c r="Z211" s="56">
        <f t="shared" si="144"/>
        <v>1.7959422310994402</v>
      </c>
      <c r="AB211" s="56" t="e">
        <f t="shared" si="139"/>
        <v>#REF!</v>
      </c>
      <c r="AC211" s="56" t="e">
        <f t="shared" si="139"/>
        <v>#REF!</v>
      </c>
      <c r="AD211" s="56" t="e">
        <f t="shared" si="139"/>
        <v>#REF!</v>
      </c>
    </row>
    <row r="212" spans="1:30">
      <c r="A212" s="58" t="str">
        <f t="shared" si="117"/>
        <v xml:space="preserve">Federal/State Grant Fund   </v>
      </c>
      <c r="B212" s="23"/>
      <c r="C212" s="23"/>
      <c r="D212" s="23"/>
      <c r="E212" s="23"/>
      <c r="F212" s="56">
        <f t="shared" ref="F212:Z212" si="145">F86/1000000*$K$2/F$2</f>
        <v>5.234306834428196</v>
      </c>
      <c r="G212" s="56"/>
      <c r="H212" s="56">
        <f t="shared" si="145"/>
        <v>5.1239193310378743</v>
      </c>
      <c r="I212" s="56">
        <f t="shared" si="145"/>
        <v>5.1239193310378743</v>
      </c>
      <c r="J212" s="56">
        <f t="shared" si="145"/>
        <v>5.4598529999999998</v>
      </c>
      <c r="K212" s="56">
        <f t="shared" si="145"/>
        <v>5.4598529999999998</v>
      </c>
      <c r="L212" s="56">
        <f t="shared" si="145"/>
        <v>5.3293142824926623</v>
      </c>
      <c r="M212" s="56">
        <f t="shared" si="145"/>
        <v>4.3830882897841006</v>
      </c>
      <c r="N212" s="56">
        <f t="shared" si="145"/>
        <v>3.0668266297310014</v>
      </c>
      <c r="O212" s="56">
        <f t="shared" si="145"/>
        <v>3.2162011357480038</v>
      </c>
      <c r="P212" s="56">
        <f t="shared" si="145"/>
        <v>1.0922557417143275</v>
      </c>
      <c r="Q212" s="56">
        <f t="shared" si="145"/>
        <v>4.720903103801775</v>
      </c>
      <c r="R212" s="56">
        <f t="shared" si="145"/>
        <v>5.1107801418815297</v>
      </c>
      <c r="S212" s="56">
        <f t="shared" si="145"/>
        <v>11.145925066938657</v>
      </c>
      <c r="T212" s="56">
        <f t="shared" si="145"/>
        <v>0</v>
      </c>
      <c r="U212" s="56">
        <f t="shared" si="145"/>
        <v>0</v>
      </c>
      <c r="V212" s="56">
        <f t="shared" si="145"/>
        <v>0</v>
      </c>
      <c r="W212" s="56">
        <f t="shared" si="145"/>
        <v>0</v>
      </c>
      <c r="X212" s="56">
        <f t="shared" si="145"/>
        <v>0</v>
      </c>
      <c r="Y212" s="56">
        <f t="shared" si="145"/>
        <v>0</v>
      </c>
      <c r="Z212" s="56">
        <f t="shared" si="145"/>
        <v>0</v>
      </c>
      <c r="AB212" s="56" t="e">
        <f t="shared" si="139"/>
        <v>#REF!</v>
      </c>
      <c r="AC212" s="56" t="e">
        <f t="shared" si="139"/>
        <v>#REF!</v>
      </c>
      <c r="AD212" s="56" t="e">
        <f t="shared" si="139"/>
        <v>#REF!</v>
      </c>
    </row>
    <row r="213" spans="1:30">
      <c r="A213" s="58" t="str">
        <f t="shared" si="117"/>
        <v>Community Development Block Grant</v>
      </c>
      <c r="B213" s="23"/>
      <c r="C213" s="23"/>
      <c r="D213" s="23"/>
      <c r="E213" s="23"/>
      <c r="F213" s="56">
        <f t="shared" ref="F213:Z213" si="146">F87/1000000*$K$2/F$2</f>
        <v>0</v>
      </c>
      <c r="G213" s="56"/>
      <c r="H213" s="56">
        <f t="shared" si="146"/>
        <v>0</v>
      </c>
      <c r="I213" s="56">
        <f t="shared" si="146"/>
        <v>0</v>
      </c>
      <c r="J213" s="56">
        <f t="shared" si="146"/>
        <v>0</v>
      </c>
      <c r="K213" s="56">
        <f t="shared" si="146"/>
        <v>0</v>
      </c>
      <c r="L213" s="56">
        <f t="shared" si="146"/>
        <v>0</v>
      </c>
      <c r="M213" s="56">
        <f t="shared" si="146"/>
        <v>0.29303063505239507</v>
      </c>
      <c r="N213" s="56">
        <f t="shared" si="146"/>
        <v>0</v>
      </c>
      <c r="O213" s="56">
        <f t="shared" si="146"/>
        <v>0</v>
      </c>
      <c r="P213" s="56">
        <f t="shared" si="146"/>
        <v>0</v>
      </c>
      <c r="Q213" s="56">
        <f t="shared" si="146"/>
        <v>0</v>
      </c>
      <c r="R213" s="56">
        <f t="shared" si="146"/>
        <v>0</v>
      </c>
      <c r="S213" s="56">
        <f t="shared" si="146"/>
        <v>0</v>
      </c>
      <c r="T213" s="56">
        <f t="shared" si="146"/>
        <v>0</v>
      </c>
      <c r="U213" s="56">
        <f t="shared" si="146"/>
        <v>0</v>
      </c>
      <c r="V213" s="56">
        <f t="shared" si="146"/>
        <v>0</v>
      </c>
      <c r="W213" s="56">
        <f t="shared" si="146"/>
        <v>0</v>
      </c>
      <c r="X213" s="56">
        <f t="shared" si="146"/>
        <v>0</v>
      </c>
      <c r="Y213" s="56">
        <f t="shared" si="146"/>
        <v>0</v>
      </c>
      <c r="Z213" s="56">
        <f t="shared" si="146"/>
        <v>0</v>
      </c>
      <c r="AB213" s="56" t="e">
        <f t="shared" si="139"/>
        <v>#REF!</v>
      </c>
      <c r="AC213" s="56" t="e">
        <f t="shared" si="139"/>
        <v>#REF!</v>
      </c>
      <c r="AD213" s="56" t="e">
        <f t="shared" si="139"/>
        <v>#REF!</v>
      </c>
    </row>
    <row r="214" spans="1:30">
      <c r="A214" s="58" t="str">
        <f t="shared" si="117"/>
        <v xml:space="preserve">County Insurance Fund   </v>
      </c>
      <c r="B214" s="23"/>
      <c r="C214" s="23"/>
      <c r="D214" s="23"/>
      <c r="E214" s="23"/>
      <c r="F214" s="56">
        <f t="shared" ref="F214:Z214" si="147">F88/1000000*$K$2/F$2</f>
        <v>22.525700269217527</v>
      </c>
      <c r="G214" s="56"/>
      <c r="H214" s="56">
        <f t="shared" si="147"/>
        <v>22.862769306443681</v>
      </c>
      <c r="I214" s="56">
        <f t="shared" si="147"/>
        <v>22.862769306443681</v>
      </c>
      <c r="J214" s="56">
        <f t="shared" si="147"/>
        <v>58.693413999999997</v>
      </c>
      <c r="K214" s="56">
        <f t="shared" si="147"/>
        <v>21.030127</v>
      </c>
      <c r="L214" s="56">
        <f t="shared" si="147"/>
        <v>22.452791979298048</v>
      </c>
      <c r="M214" s="56">
        <f t="shared" si="147"/>
        <v>27.895978218515516</v>
      </c>
      <c r="N214" s="56">
        <f t="shared" si="147"/>
        <v>24.087648994868243</v>
      </c>
      <c r="O214" s="56">
        <f t="shared" si="147"/>
        <v>16.954045747168159</v>
      </c>
      <c r="P214" s="56">
        <f t="shared" si="147"/>
        <v>21.597756619486773</v>
      </c>
      <c r="Q214" s="56">
        <f t="shared" si="147"/>
        <v>18.296386255301446</v>
      </c>
      <c r="R214" s="56">
        <f t="shared" si="147"/>
        <v>23.101980951436918</v>
      </c>
      <c r="S214" s="56">
        <f t="shared" si="147"/>
        <v>21.422999045047124</v>
      </c>
      <c r="T214" s="56">
        <f t="shared" si="147"/>
        <v>0</v>
      </c>
      <c r="U214" s="56">
        <f t="shared" si="147"/>
        <v>0</v>
      </c>
      <c r="V214" s="56">
        <f t="shared" si="147"/>
        <v>0</v>
      </c>
      <c r="W214" s="56">
        <f t="shared" si="147"/>
        <v>0</v>
      </c>
      <c r="X214" s="56">
        <f t="shared" si="147"/>
        <v>0</v>
      </c>
      <c r="Y214" s="56">
        <f t="shared" si="147"/>
        <v>0</v>
      </c>
      <c r="Z214" s="56">
        <f t="shared" si="147"/>
        <v>0</v>
      </c>
      <c r="AB214" s="56" t="e">
        <f t="shared" si="139"/>
        <v>#REF!</v>
      </c>
      <c r="AC214" s="56" t="e">
        <f t="shared" si="139"/>
        <v>#REF!</v>
      </c>
      <c r="AD214" s="56" t="e">
        <f t="shared" si="139"/>
        <v>#REF!</v>
      </c>
    </row>
    <row r="215" spans="1:30">
      <c r="A215" s="58" t="str">
        <f t="shared" si="117"/>
        <v>Department of Vehicle Services</v>
      </c>
      <c r="B215" s="23"/>
      <c r="C215" s="23"/>
      <c r="D215" s="23"/>
      <c r="E215" s="23"/>
      <c r="F215" s="56">
        <f t="shared" ref="F215:Z215" si="148">F89/1000000*$K$2/F$2</f>
        <v>0</v>
      </c>
      <c r="G215" s="56"/>
      <c r="H215" s="56">
        <f t="shared" si="148"/>
        <v>0</v>
      </c>
      <c r="I215" s="56">
        <f t="shared" si="148"/>
        <v>0</v>
      </c>
      <c r="J215" s="56">
        <f t="shared" si="148"/>
        <v>0</v>
      </c>
      <c r="K215" s="56">
        <f t="shared" si="148"/>
        <v>0</v>
      </c>
      <c r="L215" s="56">
        <f t="shared" si="148"/>
        <v>0</v>
      </c>
      <c r="M215" s="56">
        <f t="shared" si="148"/>
        <v>0</v>
      </c>
      <c r="N215" s="56">
        <f t="shared" si="148"/>
        <v>0</v>
      </c>
      <c r="O215" s="56">
        <f t="shared" si="148"/>
        <v>2.6036820229367685</v>
      </c>
      <c r="P215" s="56">
        <f t="shared" si="148"/>
        <v>4.4138990787913821</v>
      </c>
      <c r="Q215" s="56">
        <f t="shared" si="148"/>
        <v>0</v>
      </c>
      <c r="R215" s="56">
        <f t="shared" si="148"/>
        <v>0</v>
      </c>
      <c r="S215" s="56">
        <f t="shared" si="148"/>
        <v>0</v>
      </c>
      <c r="T215" s="56">
        <f t="shared" si="148"/>
        <v>0</v>
      </c>
      <c r="U215" s="56">
        <f t="shared" si="148"/>
        <v>2.5064707958355394</v>
      </c>
      <c r="V215" s="56">
        <f t="shared" si="148"/>
        <v>0</v>
      </c>
      <c r="W215" s="56">
        <f t="shared" si="148"/>
        <v>0</v>
      </c>
      <c r="X215" s="56">
        <f t="shared" si="148"/>
        <v>0</v>
      </c>
      <c r="Y215" s="56">
        <f t="shared" si="148"/>
        <v>7.1488273325590406</v>
      </c>
      <c r="Z215" s="56">
        <f t="shared" si="148"/>
        <v>2.8419707883153267</v>
      </c>
      <c r="AB215" s="56" t="e">
        <f t="shared" si="139"/>
        <v>#REF!</v>
      </c>
      <c r="AC215" s="56" t="e">
        <f t="shared" si="139"/>
        <v>#REF!</v>
      </c>
      <c r="AD215" s="56" t="e">
        <f t="shared" si="139"/>
        <v>#REF!</v>
      </c>
    </row>
    <row r="216" spans="1:30">
      <c r="A216" s="58" t="str">
        <f t="shared" si="117"/>
        <v xml:space="preserve">Document Services Division   </v>
      </c>
      <c r="B216" s="23"/>
      <c r="C216" s="23"/>
      <c r="D216" s="23"/>
      <c r="E216" s="23"/>
      <c r="F216" s="56">
        <f t="shared" ref="F216:Z216" si="149">F90/1000000*$K$2/F$2</f>
        <v>2.2048719492853892</v>
      </c>
      <c r="G216" s="56"/>
      <c r="H216" s="56">
        <f t="shared" si="149"/>
        <v>2.3593044761436301</v>
      </c>
      <c r="I216" s="56">
        <f t="shared" si="149"/>
        <v>2.3593044761436301</v>
      </c>
      <c r="J216" s="56">
        <f t="shared" si="149"/>
        <v>2.4073829999999998</v>
      </c>
      <c r="K216" s="56">
        <f t="shared" si="149"/>
        <v>2.4073829999999998</v>
      </c>
      <c r="L216" s="56">
        <f t="shared" si="149"/>
        <v>2.4371376867777865</v>
      </c>
      <c r="M216" s="56">
        <f t="shared" si="149"/>
        <v>2.4728376754763026</v>
      </c>
      <c r="N216" s="56">
        <f t="shared" si="149"/>
        <v>2.5240090270043387</v>
      </c>
      <c r="O216" s="56">
        <f t="shared" si="149"/>
        <v>10.748101634442529</v>
      </c>
      <c r="P216" s="56">
        <f t="shared" si="149"/>
        <v>3.2000768321237518</v>
      </c>
      <c r="Q216" s="56">
        <f t="shared" si="149"/>
        <v>3.1886916732852462</v>
      </c>
      <c r="R216" s="56">
        <f t="shared" si="149"/>
        <v>3.3111230881024265</v>
      </c>
      <c r="S216" s="56">
        <f t="shared" si="149"/>
        <v>3.699002604166667</v>
      </c>
      <c r="T216" s="56">
        <f t="shared" si="149"/>
        <v>4.1662171266427714</v>
      </c>
      <c r="U216" s="56">
        <f t="shared" si="149"/>
        <v>3.6343826539615316</v>
      </c>
      <c r="V216" s="56">
        <f t="shared" si="149"/>
        <v>2.4445582427536232</v>
      </c>
      <c r="W216" s="56">
        <f t="shared" si="149"/>
        <v>3.625392657958125</v>
      </c>
      <c r="X216" s="56">
        <f t="shared" si="149"/>
        <v>3.876538019951064</v>
      </c>
      <c r="Y216" s="56">
        <f t="shared" si="149"/>
        <v>0</v>
      </c>
      <c r="Z216" s="56">
        <f t="shared" si="149"/>
        <v>0</v>
      </c>
      <c r="AB216" s="56" t="e">
        <f t="shared" si="139"/>
        <v>#REF!</v>
      </c>
      <c r="AC216" s="56" t="e">
        <f t="shared" si="139"/>
        <v>#REF!</v>
      </c>
      <c r="AD216" s="56" t="e">
        <f t="shared" si="139"/>
        <v>#REF!</v>
      </c>
    </row>
    <row r="217" spans="1:30">
      <c r="A217" s="58" t="str">
        <f t="shared" si="117"/>
        <v xml:space="preserve">Technology Infrastructure Services   </v>
      </c>
      <c r="B217" s="23"/>
      <c r="C217" s="23"/>
      <c r="D217" s="23"/>
      <c r="E217" s="23"/>
      <c r="F217" s="56">
        <f t="shared" ref="F217:Z217" si="150">F91/1000000*$K$2/F$2</f>
        <v>0</v>
      </c>
      <c r="G217" s="56"/>
      <c r="H217" s="56">
        <f t="shared" si="150"/>
        <v>0</v>
      </c>
      <c r="I217" s="56">
        <f t="shared" si="150"/>
        <v>0</v>
      </c>
      <c r="J217" s="56">
        <f t="shared" si="150"/>
        <v>0</v>
      </c>
      <c r="K217" s="56">
        <f t="shared" si="150"/>
        <v>0</v>
      </c>
      <c r="L217" s="56">
        <f t="shared" si="150"/>
        <v>0</v>
      </c>
      <c r="M217" s="56">
        <f t="shared" si="150"/>
        <v>0</v>
      </c>
      <c r="N217" s="56">
        <f t="shared" si="150"/>
        <v>0</v>
      </c>
      <c r="O217" s="56">
        <f t="shared" si="150"/>
        <v>0</v>
      </c>
      <c r="P217" s="56">
        <f t="shared" si="150"/>
        <v>0</v>
      </c>
      <c r="Q217" s="56">
        <f t="shared" si="150"/>
        <v>1.9946948726144087</v>
      </c>
      <c r="R217" s="56">
        <f t="shared" si="150"/>
        <v>2.0737803671767741</v>
      </c>
      <c r="S217" s="56">
        <f t="shared" si="150"/>
        <v>5.8905630070659729</v>
      </c>
      <c r="T217" s="56">
        <f t="shared" si="150"/>
        <v>0.56225142625021329</v>
      </c>
      <c r="U217" s="56">
        <f t="shared" si="150"/>
        <v>0</v>
      </c>
      <c r="V217" s="56">
        <f t="shared" si="150"/>
        <v>0</v>
      </c>
      <c r="W217" s="56">
        <f t="shared" si="150"/>
        <v>0</v>
      </c>
      <c r="X217" s="56">
        <f t="shared" si="150"/>
        <v>0</v>
      </c>
      <c r="Y217" s="56">
        <f t="shared" si="150"/>
        <v>0</v>
      </c>
      <c r="Z217" s="56">
        <f t="shared" si="150"/>
        <v>1.3834926945328132</v>
      </c>
      <c r="AB217" s="56" t="e">
        <f t="shared" si="139"/>
        <v>#REF!</v>
      </c>
      <c r="AC217" s="56" t="e">
        <f t="shared" si="139"/>
        <v>#REF!</v>
      </c>
      <c r="AD217" s="56" t="e">
        <f t="shared" si="139"/>
        <v>#REF!</v>
      </c>
    </row>
    <row r="218" spans="1:30">
      <c r="A218" s="58" t="str">
        <f t="shared" si="117"/>
        <v xml:space="preserve">Health Benefits Trust Fund  </v>
      </c>
      <c r="B218" s="23"/>
      <c r="C218" s="23"/>
      <c r="D218" s="23"/>
      <c r="E218" s="23"/>
      <c r="F218" s="56">
        <f t="shared" ref="F218:Z218" si="151">F92/1000000*$K$2/F$2</f>
        <v>0</v>
      </c>
      <c r="G218" s="56"/>
      <c r="H218" s="56">
        <f t="shared" si="151"/>
        <v>0.98376783079193308</v>
      </c>
      <c r="I218" s="56">
        <f t="shared" si="151"/>
        <v>0</v>
      </c>
      <c r="J218" s="56">
        <f t="shared" si="151"/>
        <v>1.6</v>
      </c>
      <c r="K218" s="56">
        <f t="shared" si="151"/>
        <v>1.6</v>
      </c>
      <c r="L218" s="56">
        <f t="shared" si="151"/>
        <v>4.0648889190963287</v>
      </c>
      <c r="M218" s="56">
        <f t="shared" si="151"/>
        <v>0</v>
      </c>
      <c r="N218" s="56">
        <f t="shared" si="151"/>
        <v>0</v>
      </c>
      <c r="O218" s="56">
        <f t="shared" si="151"/>
        <v>0</v>
      </c>
      <c r="P218" s="56">
        <f t="shared" si="151"/>
        <v>0</v>
      </c>
      <c r="Q218" s="56">
        <f t="shared" si="151"/>
        <v>9.016300593427248</v>
      </c>
      <c r="R218" s="56">
        <f t="shared" si="151"/>
        <v>9.3624859732551364</v>
      </c>
      <c r="S218" s="56">
        <f t="shared" si="151"/>
        <v>0</v>
      </c>
      <c r="T218" s="56">
        <f t="shared" si="151"/>
        <v>0</v>
      </c>
      <c r="U218" s="56">
        <f t="shared" si="151"/>
        <v>0</v>
      </c>
      <c r="V218" s="56">
        <f t="shared" si="151"/>
        <v>0</v>
      </c>
      <c r="W218" s="56">
        <f t="shared" si="151"/>
        <v>0</v>
      </c>
      <c r="X218" s="56">
        <f t="shared" si="151"/>
        <v>0</v>
      </c>
      <c r="Y218" s="56">
        <f t="shared" si="151"/>
        <v>0</v>
      </c>
      <c r="Z218" s="56">
        <f t="shared" si="151"/>
        <v>0</v>
      </c>
      <c r="AB218" s="56" t="e">
        <f t="shared" si="139"/>
        <v>#REF!</v>
      </c>
      <c r="AC218" s="56" t="e">
        <f t="shared" si="139"/>
        <v>#REF!</v>
      </c>
      <c r="AD218" s="56" t="e">
        <f t="shared" si="139"/>
        <v>#REF!</v>
      </c>
    </row>
    <row r="219" spans="1:30">
      <c r="A219" s="58" t="str">
        <f t="shared" si="117"/>
        <v>OPEB Trust fund</v>
      </c>
      <c r="B219" s="23"/>
      <c r="C219" s="23"/>
      <c r="D219" s="23"/>
      <c r="E219" s="23"/>
      <c r="F219" s="56">
        <f t="shared" ref="F219:Z219" si="152">F93/1000000*$K$2/F$2</f>
        <v>25.162777767427702</v>
      </c>
      <c r="G219" s="56"/>
      <c r="H219" s="56">
        <f t="shared" si="152"/>
        <v>27.545499262174129</v>
      </c>
      <c r="I219" s="56">
        <f t="shared" si="152"/>
        <v>27.545499262174129</v>
      </c>
      <c r="J219" s="56">
        <f t="shared" si="152"/>
        <v>28.000000000000004</v>
      </c>
      <c r="K219" s="56">
        <f t="shared" si="152"/>
        <v>28.000000000000004</v>
      </c>
      <c r="L219" s="56">
        <f t="shared" si="152"/>
        <v>28.454222433674303</v>
      </c>
      <c r="M219" s="56">
        <f t="shared" si="152"/>
        <v>28.599847723172104</v>
      </c>
      <c r="N219" s="56">
        <f t="shared" si="152"/>
        <v>14.628989541616809</v>
      </c>
      <c r="O219" s="56">
        <f t="shared" si="152"/>
        <v>0</v>
      </c>
      <c r="P219" s="56">
        <f t="shared" si="152"/>
        <v>0</v>
      </c>
      <c r="Q219" s="56">
        <f t="shared" si="152"/>
        <v>0</v>
      </c>
      <c r="R219" s="56">
        <f t="shared" si="152"/>
        <v>0</v>
      </c>
      <c r="S219" s="56">
        <f t="shared" si="152"/>
        <v>0</v>
      </c>
      <c r="T219" s="56">
        <f t="shared" si="152"/>
        <v>0</v>
      </c>
      <c r="U219" s="56">
        <f t="shared" si="152"/>
        <v>0</v>
      </c>
      <c r="V219" s="56">
        <f t="shared" si="152"/>
        <v>0</v>
      </c>
      <c r="W219" s="56">
        <f t="shared" si="152"/>
        <v>0</v>
      </c>
      <c r="X219" s="56">
        <f t="shared" si="152"/>
        <v>0</v>
      </c>
      <c r="Y219" s="56">
        <f t="shared" si="152"/>
        <v>0</v>
      </c>
      <c r="Z219" s="56">
        <f t="shared" si="152"/>
        <v>0</v>
      </c>
      <c r="AB219" s="56" t="e">
        <f t="shared" si="139"/>
        <v>#REF!</v>
      </c>
      <c r="AC219" s="56" t="e">
        <f t="shared" si="139"/>
        <v>#REF!</v>
      </c>
      <c r="AD219" s="56" t="e">
        <f t="shared" si="139"/>
        <v>#REF!</v>
      </c>
    </row>
    <row r="220" spans="1:30">
      <c r="A220" s="58" t="str">
        <f t="shared" si="117"/>
        <v>Park Capital Improvement Fund</v>
      </c>
      <c r="B220" s="23"/>
      <c r="C220" s="23"/>
      <c r="D220" s="23"/>
      <c r="E220" s="23"/>
      <c r="F220" s="56">
        <f t="shared" ref="F220:Z220" si="153">F94/1000000*$K$2/F$2</f>
        <v>0</v>
      </c>
      <c r="G220" s="56"/>
      <c r="H220" s="56">
        <f t="shared" si="153"/>
        <v>0</v>
      </c>
      <c r="I220" s="56">
        <f t="shared" si="153"/>
        <v>0</v>
      </c>
      <c r="J220" s="56">
        <f t="shared" si="153"/>
        <v>0</v>
      </c>
      <c r="K220" s="56">
        <f t="shared" si="153"/>
        <v>0</v>
      </c>
      <c r="L220" s="56">
        <f t="shared" si="153"/>
        <v>0</v>
      </c>
      <c r="M220" s="56">
        <f t="shared" si="153"/>
        <v>0</v>
      </c>
      <c r="N220" s="56">
        <f t="shared" si="153"/>
        <v>0</v>
      </c>
      <c r="O220" s="56">
        <f t="shared" si="153"/>
        <v>0</v>
      </c>
      <c r="P220" s="56">
        <f t="shared" si="153"/>
        <v>0</v>
      </c>
      <c r="Q220" s="56">
        <f t="shared" si="153"/>
        <v>0</v>
      </c>
      <c r="R220" s="56">
        <f t="shared" si="153"/>
        <v>0</v>
      </c>
      <c r="S220" s="56">
        <f t="shared" si="153"/>
        <v>0</v>
      </c>
      <c r="T220" s="56">
        <f t="shared" si="153"/>
        <v>0.56365753968253973</v>
      </c>
      <c r="U220" s="56">
        <f t="shared" si="153"/>
        <v>0</v>
      </c>
      <c r="V220" s="56">
        <f t="shared" si="153"/>
        <v>0</v>
      </c>
      <c r="W220" s="56">
        <f t="shared" si="153"/>
        <v>0</v>
      </c>
      <c r="X220" s="56">
        <f t="shared" si="153"/>
        <v>0</v>
      </c>
      <c r="Y220" s="56">
        <f t="shared" si="153"/>
        <v>0</v>
      </c>
      <c r="Z220" s="56">
        <f t="shared" si="153"/>
        <v>0</v>
      </c>
      <c r="AB220" s="56" t="e">
        <f t="shared" si="139"/>
        <v>#REF!</v>
      </c>
      <c r="AC220" s="56" t="e">
        <f t="shared" si="139"/>
        <v>#REF!</v>
      </c>
      <c r="AD220" s="56" t="e">
        <f t="shared" si="139"/>
        <v>#REF!</v>
      </c>
    </row>
    <row r="221" spans="1:30">
      <c r="A221" s="58" t="str">
        <f t="shared" si="117"/>
        <v>Alcohol Safety Action Program</v>
      </c>
      <c r="B221" s="23"/>
      <c r="C221" s="23"/>
      <c r="D221" s="23"/>
      <c r="E221" s="23"/>
      <c r="F221" s="56">
        <f t="shared" ref="F221:Z221" si="154">F95/1000000*$K$2/F$2</f>
        <v>0.4666940392524816</v>
      </c>
      <c r="G221" s="56"/>
      <c r="H221" s="56">
        <f t="shared" si="154"/>
        <v>0.42023118544023613</v>
      </c>
      <c r="I221" s="56">
        <f t="shared" si="154"/>
        <v>0.42023118544023613</v>
      </c>
      <c r="J221" s="56">
        <f t="shared" si="154"/>
        <v>0.19386400000000001</v>
      </c>
      <c r="K221" s="56">
        <f t="shared" si="154"/>
        <v>0.19117400000000001</v>
      </c>
      <c r="L221" s="56">
        <f t="shared" si="154"/>
        <v>0.17474754218749161</v>
      </c>
      <c r="M221" s="56">
        <f t="shared" si="154"/>
        <v>0</v>
      </c>
      <c r="N221" s="56">
        <f t="shared" si="154"/>
        <v>0</v>
      </c>
      <c r="O221" s="56">
        <f t="shared" si="154"/>
        <v>0</v>
      </c>
      <c r="P221" s="56">
        <f t="shared" si="154"/>
        <v>2.9844578621247928E-2</v>
      </c>
      <c r="Q221" s="56">
        <f t="shared" si="154"/>
        <v>0</v>
      </c>
      <c r="R221" s="56">
        <f t="shared" si="154"/>
        <v>0</v>
      </c>
      <c r="S221" s="56">
        <f t="shared" si="154"/>
        <v>0</v>
      </c>
      <c r="T221" s="56">
        <f t="shared" si="154"/>
        <v>0</v>
      </c>
      <c r="U221" s="56">
        <f t="shared" si="154"/>
        <v>0</v>
      </c>
      <c r="V221" s="56">
        <f t="shared" si="154"/>
        <v>0</v>
      </c>
      <c r="W221" s="56">
        <f t="shared" si="154"/>
        <v>0</v>
      </c>
      <c r="X221" s="56">
        <f t="shared" si="154"/>
        <v>0</v>
      </c>
      <c r="Y221" s="56">
        <f t="shared" si="154"/>
        <v>0</v>
      </c>
      <c r="Z221" s="56">
        <f t="shared" si="154"/>
        <v>0</v>
      </c>
      <c r="AB221" s="56" t="e">
        <f t="shared" si="139"/>
        <v>#REF!</v>
      </c>
      <c r="AC221" s="56" t="e">
        <f t="shared" si="139"/>
        <v>#REF!</v>
      </c>
      <c r="AD221" s="56" t="e">
        <f t="shared" si="139"/>
        <v>#REF!</v>
      </c>
    </row>
    <row r="222" spans="1:30">
      <c r="A222" s="58" t="str">
        <f t="shared" si="117"/>
        <v xml:space="preserve">Aging Grants &amp; Programs  </v>
      </c>
      <c r="B222" s="23"/>
      <c r="C222" s="23"/>
      <c r="D222" s="23"/>
      <c r="E222" s="23"/>
      <c r="F222" s="56">
        <f t="shared" ref="F222:Z222" si="155">F96/1000000*$K$2/F$2</f>
        <v>0</v>
      </c>
      <c r="G222" s="56"/>
      <c r="H222" s="56">
        <f t="shared" si="155"/>
        <v>0</v>
      </c>
      <c r="I222" s="56">
        <f t="shared" si="155"/>
        <v>0</v>
      </c>
      <c r="J222" s="56">
        <f t="shared" si="155"/>
        <v>0</v>
      </c>
      <c r="K222" s="56">
        <f t="shared" si="155"/>
        <v>0</v>
      </c>
      <c r="L222" s="56">
        <f t="shared" si="155"/>
        <v>0</v>
      </c>
      <c r="M222" s="56">
        <f t="shared" si="155"/>
        <v>0</v>
      </c>
      <c r="N222" s="56">
        <f t="shared" si="155"/>
        <v>3.1168051516987929</v>
      </c>
      <c r="O222" s="56">
        <f t="shared" si="155"/>
        <v>4.6171499581208506</v>
      </c>
      <c r="P222" s="56">
        <f t="shared" si="155"/>
        <v>4.5056254190225156</v>
      </c>
      <c r="Q222" s="56">
        <f t="shared" si="155"/>
        <v>4.1600771118532185</v>
      </c>
      <c r="R222" s="56">
        <f t="shared" si="155"/>
        <v>4.0386145088557397</v>
      </c>
      <c r="S222" s="56">
        <f t="shared" si="155"/>
        <v>3.1616655230142201</v>
      </c>
      <c r="T222" s="56">
        <f t="shared" si="155"/>
        <v>2.4842448457287931</v>
      </c>
      <c r="U222" s="56">
        <f t="shared" si="155"/>
        <v>2.3007221276177874</v>
      </c>
      <c r="V222" s="56">
        <f t="shared" si="155"/>
        <v>2.2335529815063411</v>
      </c>
      <c r="W222" s="56">
        <f t="shared" si="155"/>
        <v>2.1535371920390962</v>
      </c>
      <c r="X222" s="56">
        <f t="shared" si="155"/>
        <v>1.7412927560210805</v>
      </c>
      <c r="Y222" s="56">
        <f t="shared" si="155"/>
        <v>1.3886060931445996</v>
      </c>
      <c r="Z222" s="56">
        <f t="shared" si="155"/>
        <v>1.1809823820698282</v>
      </c>
      <c r="AB222" s="56" t="e">
        <f t="shared" si="139"/>
        <v>#REF!</v>
      </c>
      <c r="AC222" s="56" t="e">
        <f t="shared" si="139"/>
        <v>#REF!</v>
      </c>
      <c r="AD222" s="56" t="e">
        <f t="shared" si="139"/>
        <v>#REF!</v>
      </c>
    </row>
    <row r="223" spans="1:30">
      <c r="A223" s="58" t="str">
        <f t="shared" si="117"/>
        <v>Countywide Roadway Improvement</v>
      </c>
      <c r="B223" s="23"/>
      <c r="C223" s="23"/>
      <c r="D223" s="23"/>
      <c r="E223" s="23"/>
      <c r="F223" s="56">
        <f t="shared" ref="F223:Z223" si="156">F97/1000000*$K$2/F$2</f>
        <v>0</v>
      </c>
      <c r="G223" s="56"/>
      <c r="H223" s="56">
        <f t="shared" si="156"/>
        <v>0</v>
      </c>
      <c r="I223" s="56">
        <f t="shared" si="156"/>
        <v>0</v>
      </c>
      <c r="J223" s="56">
        <f t="shared" si="156"/>
        <v>0</v>
      </c>
      <c r="K223" s="56">
        <f t="shared" si="156"/>
        <v>0</v>
      </c>
      <c r="L223" s="56">
        <f t="shared" si="156"/>
        <v>0</v>
      </c>
      <c r="M223" s="56">
        <f t="shared" si="156"/>
        <v>0</v>
      </c>
      <c r="N223" s="56">
        <f t="shared" si="156"/>
        <v>0</v>
      </c>
      <c r="O223" s="56">
        <f t="shared" si="156"/>
        <v>0</v>
      </c>
      <c r="P223" s="56">
        <f t="shared" si="156"/>
        <v>0</v>
      </c>
      <c r="Q223" s="56">
        <f t="shared" si="156"/>
        <v>0</v>
      </c>
      <c r="R223" s="56">
        <f t="shared" si="156"/>
        <v>0</v>
      </c>
      <c r="S223" s="56">
        <f t="shared" si="156"/>
        <v>0</v>
      </c>
      <c r="T223" s="56">
        <f t="shared" si="156"/>
        <v>0</v>
      </c>
      <c r="U223" s="56">
        <f t="shared" si="156"/>
        <v>0</v>
      </c>
      <c r="V223" s="56">
        <f t="shared" si="156"/>
        <v>0</v>
      </c>
      <c r="W223" s="56">
        <f t="shared" si="156"/>
        <v>0</v>
      </c>
      <c r="X223" s="56">
        <f t="shared" si="156"/>
        <v>0</v>
      </c>
      <c r="Y223" s="56">
        <f t="shared" si="156"/>
        <v>3.1619813201703448</v>
      </c>
      <c r="Z223" s="56">
        <f t="shared" si="156"/>
        <v>0</v>
      </c>
      <c r="AB223" s="56" t="e">
        <f t="shared" si="139"/>
        <v>#REF!</v>
      </c>
      <c r="AC223" s="56" t="e">
        <f t="shared" si="139"/>
        <v>#REF!</v>
      </c>
      <c r="AD223" s="56" t="e">
        <f t="shared" si="139"/>
        <v>#REF!</v>
      </c>
    </row>
    <row r="224" spans="1:30">
      <c r="A224" s="58" t="str">
        <f t="shared" si="117"/>
        <v xml:space="preserve">Public Works Construction   </v>
      </c>
      <c r="B224" s="23"/>
      <c r="C224" s="23"/>
      <c r="D224" s="23"/>
      <c r="E224" s="23"/>
      <c r="F224" s="56">
        <f t="shared" ref="F224:Z224" si="157">F98/1000000*$K$2/F$2</f>
        <v>0</v>
      </c>
      <c r="G224" s="56"/>
      <c r="H224" s="56">
        <f t="shared" si="157"/>
        <v>0</v>
      </c>
      <c r="I224" s="56">
        <f t="shared" si="157"/>
        <v>0</v>
      </c>
      <c r="J224" s="56">
        <f t="shared" si="157"/>
        <v>0</v>
      </c>
      <c r="K224" s="56">
        <f t="shared" si="157"/>
        <v>0</v>
      </c>
      <c r="L224" s="56">
        <f t="shared" si="157"/>
        <v>0</v>
      </c>
      <c r="M224" s="56">
        <f t="shared" si="157"/>
        <v>0</v>
      </c>
      <c r="N224" s="56">
        <f t="shared" si="157"/>
        <v>0</v>
      </c>
      <c r="O224" s="56">
        <f t="shared" si="157"/>
        <v>0</v>
      </c>
      <c r="P224" s="56">
        <f t="shared" si="157"/>
        <v>0</v>
      </c>
      <c r="Q224" s="56">
        <f t="shared" si="157"/>
        <v>0</v>
      </c>
      <c r="R224" s="56">
        <f t="shared" si="157"/>
        <v>0</v>
      </c>
      <c r="S224" s="56">
        <f t="shared" si="157"/>
        <v>0.38850565637235457</v>
      </c>
      <c r="T224" s="56">
        <f t="shared" si="157"/>
        <v>2.0746233960573477</v>
      </c>
      <c r="U224" s="56">
        <f t="shared" si="157"/>
        <v>0.21931619463560967</v>
      </c>
      <c r="V224" s="56">
        <f t="shared" si="157"/>
        <v>0</v>
      </c>
      <c r="W224" s="56">
        <f t="shared" si="157"/>
        <v>1.118906712533815</v>
      </c>
      <c r="X224" s="56">
        <f t="shared" si="157"/>
        <v>1.2080415329456053</v>
      </c>
      <c r="Y224" s="56">
        <f t="shared" si="157"/>
        <v>4.0734568050716229</v>
      </c>
      <c r="Z224" s="56">
        <f t="shared" si="157"/>
        <v>5.2565546416006406</v>
      </c>
      <c r="AB224" s="56" t="e">
        <f t="shared" si="139"/>
        <v>#REF!</v>
      </c>
      <c r="AC224" s="56" t="e">
        <f t="shared" si="139"/>
        <v>#REF!</v>
      </c>
      <c r="AD224" s="56" t="e">
        <f t="shared" si="139"/>
        <v>#REF!</v>
      </c>
    </row>
    <row r="225" spans="1:30">
      <c r="A225" s="58" t="str">
        <f t="shared" si="117"/>
        <v xml:space="preserve">County Bond Construction   </v>
      </c>
      <c r="B225" s="23"/>
      <c r="C225" s="23"/>
      <c r="D225" s="23"/>
      <c r="E225" s="23"/>
      <c r="F225" s="56">
        <f t="shared" ref="F225:Z225" si="158">F99/1000000*$K$2/F$2</f>
        <v>0</v>
      </c>
      <c r="G225" s="56"/>
      <c r="H225" s="56">
        <f t="shared" si="158"/>
        <v>0</v>
      </c>
      <c r="I225" s="56">
        <f t="shared" si="158"/>
        <v>0</v>
      </c>
      <c r="J225" s="56">
        <f t="shared" si="158"/>
        <v>0</v>
      </c>
      <c r="K225" s="56">
        <f t="shared" si="158"/>
        <v>0</v>
      </c>
      <c r="L225" s="56">
        <f t="shared" si="158"/>
        <v>0</v>
      </c>
      <c r="M225" s="56">
        <f t="shared" si="158"/>
        <v>0</v>
      </c>
      <c r="N225" s="56">
        <f t="shared" si="158"/>
        <v>0</v>
      </c>
      <c r="O225" s="56">
        <f t="shared" si="158"/>
        <v>0</v>
      </c>
      <c r="P225" s="56">
        <f t="shared" si="158"/>
        <v>0</v>
      </c>
      <c r="Q225" s="56">
        <f t="shared" si="158"/>
        <v>0.54977442642849073</v>
      </c>
      <c r="R225" s="56">
        <f t="shared" si="158"/>
        <v>3.8820063791545691</v>
      </c>
      <c r="S225" s="56">
        <f t="shared" si="158"/>
        <v>0</v>
      </c>
      <c r="T225" s="56">
        <f t="shared" si="158"/>
        <v>0</v>
      </c>
      <c r="U225" s="56">
        <f t="shared" si="158"/>
        <v>0</v>
      </c>
      <c r="V225" s="56">
        <f t="shared" si="158"/>
        <v>0</v>
      </c>
      <c r="W225" s="56">
        <f t="shared" si="158"/>
        <v>0</v>
      </c>
      <c r="X225" s="56">
        <f t="shared" si="158"/>
        <v>1.5105130905326558</v>
      </c>
      <c r="Y225" s="56">
        <f t="shared" si="158"/>
        <v>5.618703328494</v>
      </c>
      <c r="Z225" s="56">
        <f t="shared" si="158"/>
        <v>0</v>
      </c>
      <c r="AB225" s="56" t="e">
        <f t="shared" si="139"/>
        <v>#REF!</v>
      </c>
      <c r="AC225" s="56" t="e">
        <f t="shared" si="139"/>
        <v>#REF!</v>
      </c>
      <c r="AD225" s="56" t="e">
        <f t="shared" si="139"/>
        <v>#REF!</v>
      </c>
    </row>
    <row r="226" spans="1:30">
      <c r="A226" s="58" t="str">
        <f t="shared" si="117"/>
        <v>Trail Construction</v>
      </c>
      <c r="B226" s="23"/>
      <c r="C226" s="23"/>
      <c r="D226" s="23"/>
      <c r="E226" s="23"/>
      <c r="F226" s="56">
        <f t="shared" ref="F226:Z226" si="159">F100/1000000*$K$2/F$2</f>
        <v>0</v>
      </c>
      <c r="G226" s="56"/>
      <c r="H226" s="56">
        <f t="shared" si="159"/>
        <v>0</v>
      </c>
      <c r="I226" s="56">
        <f t="shared" si="159"/>
        <v>0</v>
      </c>
      <c r="J226" s="56">
        <f t="shared" si="159"/>
        <v>0</v>
      </c>
      <c r="K226" s="56">
        <f t="shared" si="159"/>
        <v>0</v>
      </c>
      <c r="L226" s="56">
        <f t="shared" si="159"/>
        <v>0</v>
      </c>
      <c r="M226" s="56">
        <f t="shared" si="159"/>
        <v>0</v>
      </c>
      <c r="N226" s="56">
        <f t="shared" si="159"/>
        <v>0</v>
      </c>
      <c r="O226" s="56">
        <f t="shared" si="159"/>
        <v>0</v>
      </c>
      <c r="P226" s="56">
        <f t="shared" si="159"/>
        <v>0</v>
      </c>
      <c r="Q226" s="56">
        <f t="shared" si="159"/>
        <v>0</v>
      </c>
      <c r="R226" s="56">
        <f t="shared" si="159"/>
        <v>0</v>
      </c>
      <c r="S226" s="56">
        <f t="shared" si="159"/>
        <v>0</v>
      </c>
      <c r="T226" s="56">
        <f t="shared" si="159"/>
        <v>0</v>
      </c>
      <c r="U226" s="56">
        <f t="shared" si="159"/>
        <v>0</v>
      </c>
      <c r="V226" s="56">
        <f t="shared" si="159"/>
        <v>0</v>
      </c>
      <c r="W226" s="56">
        <f t="shared" si="159"/>
        <v>0.26318639985176956</v>
      </c>
      <c r="X226" s="56">
        <f t="shared" si="159"/>
        <v>0.20051058723884815</v>
      </c>
      <c r="Y226" s="56">
        <f t="shared" si="159"/>
        <v>6.8738724351529251E-2</v>
      </c>
      <c r="Z226" s="56">
        <f t="shared" si="159"/>
        <v>0.57834105542216885</v>
      </c>
      <c r="AB226" s="56" t="e">
        <f t="shared" ref="AB226:AD230" si="160">AB100/1000000*$K$2/AB$2</f>
        <v>#REF!</v>
      </c>
      <c r="AC226" s="56" t="e">
        <f t="shared" si="160"/>
        <v>#REF!</v>
      </c>
      <c r="AD226" s="56" t="e">
        <f t="shared" si="160"/>
        <v>#REF!</v>
      </c>
    </row>
    <row r="227" spans="1:30">
      <c r="A227" s="58" t="str">
        <f t="shared" si="117"/>
        <v xml:space="preserve">Stormwater Management Program   </v>
      </c>
      <c r="B227" s="23"/>
      <c r="C227" s="23"/>
      <c r="D227" s="23"/>
      <c r="E227" s="23"/>
      <c r="F227" s="56">
        <f t="shared" ref="F227:Z227" si="161">F101/1000000*$K$2/F$2</f>
        <v>0</v>
      </c>
      <c r="G227" s="56"/>
      <c r="H227" s="56">
        <f t="shared" si="161"/>
        <v>0</v>
      </c>
      <c r="I227" s="56">
        <f t="shared" si="161"/>
        <v>0</v>
      </c>
      <c r="J227" s="56">
        <f t="shared" si="161"/>
        <v>0</v>
      </c>
      <c r="K227" s="56">
        <f t="shared" si="161"/>
        <v>0</v>
      </c>
      <c r="L227" s="56">
        <f t="shared" si="161"/>
        <v>0</v>
      </c>
      <c r="M227" s="56">
        <f t="shared" si="161"/>
        <v>0</v>
      </c>
      <c r="N227" s="56">
        <f t="shared" si="161"/>
        <v>0</v>
      </c>
      <c r="O227" s="56">
        <f t="shared" si="161"/>
        <v>0</v>
      </c>
      <c r="P227" s="56">
        <f t="shared" si="161"/>
        <v>0</v>
      </c>
      <c r="Q227" s="56">
        <f t="shared" si="161"/>
        <v>0</v>
      </c>
      <c r="R227" s="56">
        <f t="shared" si="161"/>
        <v>0</v>
      </c>
      <c r="S227" s="56">
        <f t="shared" si="161"/>
        <v>21.019729083994708</v>
      </c>
      <c r="T227" s="56">
        <f t="shared" si="161"/>
        <v>0</v>
      </c>
      <c r="U227" s="56">
        <f t="shared" si="161"/>
        <v>0</v>
      </c>
      <c r="V227" s="56">
        <f t="shared" si="161"/>
        <v>0</v>
      </c>
      <c r="W227" s="56">
        <f t="shared" si="161"/>
        <v>0</v>
      </c>
      <c r="X227" s="56">
        <f t="shared" si="161"/>
        <v>0</v>
      </c>
      <c r="Y227" s="56">
        <f t="shared" si="161"/>
        <v>0</v>
      </c>
      <c r="Z227" s="56">
        <f t="shared" si="161"/>
        <v>0</v>
      </c>
      <c r="AB227" s="56" t="e">
        <f t="shared" si="160"/>
        <v>#REF!</v>
      </c>
      <c r="AC227" s="56" t="e">
        <f t="shared" si="160"/>
        <v>#REF!</v>
      </c>
      <c r="AD227" s="56" t="e">
        <f t="shared" si="160"/>
        <v>#REF!</v>
      </c>
    </row>
    <row r="228" spans="1:30">
      <c r="A228" s="58" t="str">
        <f t="shared" si="117"/>
        <v xml:space="preserve">Retiree Health Benefits Fund  </v>
      </c>
      <c r="B228" s="23"/>
      <c r="C228" s="23"/>
      <c r="D228" s="23"/>
      <c r="E228" s="23"/>
      <c r="F228" s="56">
        <f t="shared" ref="F228:Z228" si="162">F102/1000000*$K$2/F$2</f>
        <v>0</v>
      </c>
      <c r="G228" s="56"/>
      <c r="H228" s="56">
        <f t="shared" si="162"/>
        <v>0</v>
      </c>
      <c r="I228" s="56">
        <f t="shared" si="162"/>
        <v>0</v>
      </c>
      <c r="J228" s="56">
        <f t="shared" si="162"/>
        <v>0</v>
      </c>
      <c r="K228" s="56">
        <f t="shared" si="162"/>
        <v>0</v>
      </c>
      <c r="L228" s="56">
        <f t="shared" si="162"/>
        <v>0</v>
      </c>
      <c r="M228" s="56">
        <f t="shared" si="162"/>
        <v>0</v>
      </c>
      <c r="N228" s="56">
        <f t="shared" si="162"/>
        <v>0</v>
      </c>
      <c r="O228" s="56">
        <f t="shared" si="162"/>
        <v>0</v>
      </c>
      <c r="P228" s="56">
        <f t="shared" si="162"/>
        <v>0</v>
      </c>
      <c r="Q228" s="56">
        <f t="shared" si="162"/>
        <v>5.0700065659373079</v>
      </c>
      <c r="R228" s="56">
        <f t="shared" si="162"/>
        <v>4.6476510720154796</v>
      </c>
      <c r="S228" s="56">
        <f t="shared" si="162"/>
        <v>4.4835551850777122</v>
      </c>
      <c r="T228" s="56">
        <f t="shared" si="162"/>
        <v>4.4846787878963985</v>
      </c>
      <c r="U228" s="56">
        <f t="shared" si="162"/>
        <v>3.8709233159061234</v>
      </c>
      <c r="V228" s="56">
        <f t="shared" si="162"/>
        <v>2.8671979173432978</v>
      </c>
      <c r="W228" s="56">
        <f t="shared" si="162"/>
        <v>2.5238457203585329</v>
      </c>
      <c r="X228" s="56">
        <f t="shared" si="162"/>
        <v>2.5344538226990405</v>
      </c>
      <c r="Y228" s="56">
        <f t="shared" si="162"/>
        <v>2.033875745475223</v>
      </c>
      <c r="Z228" s="56">
        <f t="shared" si="162"/>
        <v>1.0795083940876351</v>
      </c>
      <c r="AB228" s="56" t="e">
        <f t="shared" si="160"/>
        <v>#REF!</v>
      </c>
      <c r="AC228" s="56" t="e">
        <f t="shared" si="160"/>
        <v>#REF!</v>
      </c>
      <c r="AD228" s="56" t="e">
        <f t="shared" si="160"/>
        <v>#REF!</v>
      </c>
    </row>
    <row r="229" spans="1:30">
      <c r="A229" s="58" t="str">
        <f t="shared" si="117"/>
        <v>School Grants &amp; Self Supporting Fund</v>
      </c>
      <c r="B229" s="23"/>
      <c r="C229" s="23"/>
      <c r="D229" s="23"/>
      <c r="E229" s="23"/>
      <c r="F229" s="56">
        <f t="shared" ref="F229:Z229" si="163">F103/1000000*$K$2/F$2</f>
        <v>0</v>
      </c>
      <c r="G229" s="56"/>
      <c r="H229" s="56">
        <f t="shared" si="163"/>
        <v>0</v>
      </c>
      <c r="I229" s="56">
        <f t="shared" si="163"/>
        <v>0</v>
      </c>
      <c r="J229" s="56">
        <f t="shared" si="163"/>
        <v>0</v>
      </c>
      <c r="K229" s="56">
        <f t="shared" si="163"/>
        <v>0</v>
      </c>
      <c r="L229" s="56">
        <f t="shared" si="163"/>
        <v>0</v>
      </c>
      <c r="M229" s="56">
        <f t="shared" si="163"/>
        <v>0</v>
      </c>
      <c r="N229" s="56">
        <f t="shared" si="163"/>
        <v>0</v>
      </c>
      <c r="O229" s="56">
        <f t="shared" si="163"/>
        <v>0</v>
      </c>
      <c r="P229" s="56">
        <f t="shared" si="163"/>
        <v>0</v>
      </c>
      <c r="Q229" s="56">
        <f t="shared" si="163"/>
        <v>0</v>
      </c>
      <c r="R229" s="56">
        <f t="shared" si="163"/>
        <v>0</v>
      </c>
      <c r="S229" s="56">
        <f t="shared" si="163"/>
        <v>1.7409948771213628</v>
      </c>
      <c r="T229" s="56">
        <f t="shared" si="163"/>
        <v>6.0608337600273083</v>
      </c>
      <c r="U229" s="56">
        <f t="shared" si="163"/>
        <v>0</v>
      </c>
      <c r="V229" s="56">
        <f t="shared" si="163"/>
        <v>0</v>
      </c>
      <c r="W229" s="56">
        <f t="shared" si="163"/>
        <v>0</v>
      </c>
      <c r="X229" s="56">
        <f t="shared" si="163"/>
        <v>0</v>
      </c>
      <c r="Y229" s="56">
        <f t="shared" si="163"/>
        <v>0</v>
      </c>
      <c r="Z229" s="56">
        <f t="shared" si="163"/>
        <v>0</v>
      </c>
      <c r="AB229" s="56" t="e">
        <f t="shared" si="160"/>
        <v>#REF!</v>
      </c>
      <c r="AC229" s="56" t="e">
        <f t="shared" si="160"/>
        <v>#REF!</v>
      </c>
      <c r="AD229" s="56" t="e">
        <f t="shared" si="160"/>
        <v>#REF!</v>
      </c>
    </row>
    <row r="230" spans="1:30">
      <c r="A230" s="61" t="str">
        <f t="shared" si="117"/>
        <v>Total Transfers Out</v>
      </c>
      <c r="B230" s="23"/>
      <c r="C230" s="23"/>
      <c r="D230" s="23"/>
      <c r="E230" s="23"/>
      <c r="F230" s="60">
        <f t="shared" ref="F230:Z230" si="164">F104/1000000*$K$2/F$2</f>
        <v>2331.1722239709816</v>
      </c>
      <c r="G230" s="60"/>
      <c r="H230" s="60">
        <f t="shared" si="164"/>
        <v>2338.7539449090013</v>
      </c>
      <c r="I230" s="60">
        <f t="shared" si="164"/>
        <v>2312.8171588785049</v>
      </c>
      <c r="J230" s="60">
        <f t="shared" si="164"/>
        <v>2343.987181</v>
      </c>
      <c r="K230" s="60">
        <f t="shared" si="164"/>
        <v>2303.0030120000001</v>
      </c>
      <c r="L230" s="60">
        <f t="shared" si="164"/>
        <v>2298.8720521282917</v>
      </c>
      <c r="M230" s="60">
        <f t="shared" si="164"/>
        <v>2238.641758963427</v>
      </c>
      <c r="N230" s="60">
        <f t="shared" si="164"/>
        <v>2257.268644570207</v>
      </c>
      <c r="O230" s="60">
        <f t="shared" si="164"/>
        <v>2330.2803034744438</v>
      </c>
      <c r="P230" s="60">
        <f t="shared" si="164"/>
        <v>2365.4871223495206</v>
      </c>
      <c r="Q230" s="60">
        <f t="shared" si="164"/>
        <v>2331.0152854612079</v>
      </c>
      <c r="R230" s="60">
        <f t="shared" si="164"/>
        <v>2373.4946510194745</v>
      </c>
      <c r="S230" s="60">
        <f t="shared" si="164"/>
        <v>2403.4879638573952</v>
      </c>
      <c r="T230" s="60">
        <f t="shared" si="164"/>
        <v>2187.3101847380408</v>
      </c>
      <c r="U230" s="60">
        <f t="shared" si="164"/>
        <v>2088.3846532493126</v>
      </c>
      <c r="V230" s="60">
        <f t="shared" si="164"/>
        <v>1975.9888518125745</v>
      </c>
      <c r="W230" s="60">
        <f t="shared" si="164"/>
        <v>1894.3850357059302</v>
      </c>
      <c r="X230" s="60">
        <f t="shared" si="164"/>
        <v>1795.8111836701487</v>
      </c>
      <c r="Y230" s="60">
        <f t="shared" si="164"/>
        <v>1703.0952402472572</v>
      </c>
      <c r="Z230" s="60">
        <f t="shared" si="164"/>
        <v>1642.2897844904926</v>
      </c>
      <c r="AB230" s="60" t="e">
        <f t="shared" si="160"/>
        <v>#REF!</v>
      </c>
      <c r="AC230" s="60" t="e">
        <f t="shared" si="160"/>
        <v>#REF!</v>
      </c>
      <c r="AD230" s="60" t="e">
        <f t="shared" si="160"/>
        <v>#REF!</v>
      </c>
    </row>
    <row r="231" spans="1:30">
      <c r="A231" s="58"/>
      <c r="B231" s="23"/>
      <c r="C231" s="23"/>
      <c r="D231" s="23"/>
      <c r="E231" s="23"/>
      <c r="F231" s="56"/>
      <c r="G231" s="56"/>
      <c r="H231" s="56"/>
      <c r="I231" s="56"/>
      <c r="J231" s="56"/>
      <c r="K231" s="56"/>
      <c r="L231" s="56"/>
      <c r="M231" s="56"/>
      <c r="N231" s="56"/>
      <c r="O231" s="56"/>
      <c r="P231" s="56"/>
      <c r="Q231" s="56"/>
      <c r="R231" s="56"/>
      <c r="S231" s="56"/>
      <c r="T231" s="56"/>
      <c r="U231" s="56"/>
      <c r="V231" s="56"/>
      <c r="W231" s="56"/>
      <c r="X231" s="56"/>
      <c r="Y231" s="56"/>
      <c r="Z231" s="56"/>
      <c r="AB231" s="56"/>
      <c r="AC231" s="56"/>
      <c r="AD231" s="56"/>
    </row>
    <row r="232" spans="1:30">
      <c r="A232" s="61" t="str">
        <f>A106</f>
        <v>Total Disbursements</v>
      </c>
      <c r="B232" s="23"/>
      <c r="C232" s="23"/>
      <c r="D232" s="23"/>
      <c r="E232" s="23"/>
      <c r="F232" s="60">
        <f t="shared" ref="F232:Z232" si="165">F106/1000000*$K$2/F$2</f>
        <v>3690.6811859120385</v>
      </c>
      <c r="G232" s="60"/>
      <c r="H232" s="60">
        <f t="shared" si="165"/>
        <v>3718.805336940482</v>
      </c>
      <c r="I232" s="60">
        <f t="shared" si="165"/>
        <v>3656.0393261190361</v>
      </c>
      <c r="J232" s="60">
        <f t="shared" si="165"/>
        <v>3636.3947710000002</v>
      </c>
      <c r="K232" s="60">
        <f t="shared" si="165"/>
        <v>3663.4715470000001</v>
      </c>
      <c r="L232" s="60">
        <f t="shared" si="165"/>
        <v>3588.7860301604837</v>
      </c>
      <c r="M232" s="60">
        <f t="shared" si="165"/>
        <v>3519.5623093045087</v>
      </c>
      <c r="N232" s="60">
        <f t="shared" si="165"/>
        <v>3507.9163956456619</v>
      </c>
      <c r="O232" s="60">
        <f t="shared" si="165"/>
        <v>3591.2125060749067</v>
      </c>
      <c r="P232" s="60">
        <f t="shared" si="165"/>
        <v>3699.5715347919026</v>
      </c>
      <c r="Q232" s="60">
        <f t="shared" si="165"/>
        <v>3651.5424966458436</v>
      </c>
      <c r="R232" s="60">
        <f t="shared" si="165"/>
        <v>3680.7187217696883</v>
      </c>
      <c r="S232" s="60">
        <f t="shared" si="165"/>
        <v>3656.6078374228196</v>
      </c>
      <c r="T232" s="60">
        <f t="shared" si="165"/>
        <v>3406.0431943402791</v>
      </c>
      <c r="U232" s="60">
        <f t="shared" si="165"/>
        <v>3258.2388148959712</v>
      </c>
      <c r="V232" s="60">
        <f t="shared" si="165"/>
        <v>3150.1406247099676</v>
      </c>
      <c r="W232" s="60">
        <f t="shared" si="165"/>
        <v>3019.442523626637</v>
      </c>
      <c r="X232" s="60">
        <f t="shared" si="165"/>
        <v>2877.9680621536418</v>
      </c>
      <c r="Y232" s="60">
        <f t="shared" si="165"/>
        <v>2750.2924658515008</v>
      </c>
      <c r="Z232" s="60">
        <f t="shared" si="165"/>
        <v>2628.2363736852026</v>
      </c>
      <c r="AB232" s="60" t="e">
        <f>AB106/1000000*$K$2/AB$2</f>
        <v>#REF!</v>
      </c>
      <c r="AC232" s="56" t="e">
        <f>AC106/1000000*$K$2/AC$2</f>
        <v>#REF!</v>
      </c>
      <c r="AD232" s="56" t="e">
        <f>AD106/1000000*$K$2/AD$2</f>
        <v>#REF!</v>
      </c>
    </row>
    <row r="233" spans="1:30">
      <c r="A233" s="58"/>
      <c r="B233" s="23"/>
      <c r="C233" s="23"/>
      <c r="D233" s="23"/>
      <c r="E233" s="23"/>
      <c r="F233" s="56"/>
      <c r="G233" s="56"/>
      <c r="H233" s="56"/>
      <c r="I233" s="56"/>
      <c r="J233" s="56"/>
      <c r="K233" s="56"/>
      <c r="L233" s="56"/>
      <c r="M233" s="56"/>
      <c r="N233" s="56"/>
      <c r="O233" s="56"/>
      <c r="P233" s="56"/>
      <c r="Q233" s="56"/>
      <c r="R233" s="56"/>
      <c r="S233" s="56"/>
      <c r="T233" s="56"/>
      <c r="U233" s="56"/>
      <c r="V233" s="56"/>
      <c r="W233" s="56"/>
      <c r="X233" s="56"/>
      <c r="Y233" s="56"/>
      <c r="Z233" s="56"/>
      <c r="AB233" s="56"/>
      <c r="AC233" s="56" t="e">
        <f>AC107/1000000*$K$2/AC$2</f>
        <v>#REF!</v>
      </c>
      <c r="AD233" s="56" t="e">
        <f>AD107/1000000*$K$2/AD$2</f>
        <v>#REF!</v>
      </c>
    </row>
    <row r="234" spans="1:30">
      <c r="A234" s="61" t="str">
        <f>A108</f>
        <v>Ending balance</v>
      </c>
      <c r="B234" s="23"/>
      <c r="C234" s="23"/>
      <c r="D234" s="23"/>
      <c r="E234" s="23"/>
      <c r="F234" s="60">
        <f t="shared" ref="F234:Z234" si="166">F108/1000000*$K$2/F$2</f>
        <v>84.22876061947855</v>
      </c>
      <c r="G234" s="60"/>
      <c r="H234" s="60">
        <f t="shared" si="166"/>
        <v>87.961374323659626</v>
      </c>
      <c r="I234" s="60">
        <f t="shared" si="166"/>
        <v>80.693712739793412</v>
      </c>
      <c r="J234" s="60">
        <f t="shared" si="166"/>
        <v>156.391257</v>
      </c>
      <c r="K234" s="60">
        <f t="shared" si="166"/>
        <v>127.534689</v>
      </c>
      <c r="L234" s="60">
        <f t="shared" si="166"/>
        <v>185.77331558453864</v>
      </c>
      <c r="M234" s="60">
        <f t="shared" si="166"/>
        <v>215.95478474301476</v>
      </c>
      <c r="N234" s="60">
        <f t="shared" si="166"/>
        <v>248.62542466351053</v>
      </c>
      <c r="O234" s="60">
        <f t="shared" si="166"/>
        <v>260.86065968289722</v>
      </c>
      <c r="P234" s="60">
        <f t="shared" si="166"/>
        <v>204.56827378113411</v>
      </c>
      <c r="Q234" s="60">
        <f t="shared" si="166"/>
        <v>177.45908557426668</v>
      </c>
      <c r="R234" s="60">
        <f t="shared" si="166"/>
        <v>210.31121109000509</v>
      </c>
      <c r="S234" s="60">
        <f t="shared" si="166"/>
        <v>201.38393450375168</v>
      </c>
      <c r="T234" s="60">
        <f t="shared" si="166"/>
        <v>217.2185752285919</v>
      </c>
      <c r="U234" s="60">
        <f t="shared" si="166"/>
        <v>192.67304170651846</v>
      </c>
      <c r="V234" s="60">
        <f t="shared" si="166"/>
        <v>152.9705633769058</v>
      </c>
      <c r="W234" s="60">
        <f t="shared" si="166"/>
        <v>124.44645087789792</v>
      </c>
      <c r="X234" s="60">
        <f t="shared" si="166"/>
        <v>105.01797614904198</v>
      </c>
      <c r="Y234" s="60">
        <f t="shared" si="166"/>
        <v>121.64677063448221</v>
      </c>
      <c r="Z234" s="60">
        <f t="shared" si="166"/>
        <v>135.20070543533717</v>
      </c>
      <c r="AB234" s="60" t="e">
        <f>AB108/1000000*$K$2/AB$2</f>
        <v>#REF!</v>
      </c>
      <c r="AC234" s="60" t="e">
        <f>AC108/1000000*$K$2/AC$2</f>
        <v>#REF!</v>
      </c>
      <c r="AD234" s="60" t="e">
        <f>AD108/1000000*$K$2/AD$2</f>
        <v>#REF!</v>
      </c>
    </row>
    <row r="235" spans="1:30">
      <c r="A235" s="58"/>
      <c r="B235" s="23"/>
      <c r="C235" s="23"/>
      <c r="D235" s="23"/>
      <c r="E235" s="23"/>
      <c r="F235" s="56"/>
      <c r="G235" s="56"/>
      <c r="H235" s="56"/>
      <c r="I235" s="56"/>
      <c r="J235" s="56"/>
      <c r="K235" s="56"/>
      <c r="L235" s="56"/>
      <c r="M235" s="56"/>
      <c r="N235" s="56"/>
      <c r="O235" s="56"/>
      <c r="P235" s="56"/>
      <c r="Q235" s="56"/>
      <c r="R235" s="56"/>
      <c r="S235" s="56"/>
      <c r="T235" s="56"/>
      <c r="U235" s="56"/>
      <c r="V235" s="56"/>
      <c r="W235" s="56"/>
      <c r="X235" s="56"/>
      <c r="Y235" s="56"/>
      <c r="Z235" s="56"/>
      <c r="AB235" s="56"/>
      <c r="AC235" s="56"/>
      <c r="AD235" s="56"/>
    </row>
    <row r="236" spans="1:30">
      <c r="A236" s="58" t="str">
        <f t="shared" ref="A236:A249" si="167">A110</f>
        <v>Less:</v>
      </c>
      <c r="B236" s="23"/>
      <c r="C236" s="23"/>
      <c r="D236" s="23"/>
      <c r="E236" s="23"/>
      <c r="F236" s="56"/>
      <c r="G236" s="56"/>
      <c r="H236" s="56"/>
      <c r="I236" s="56"/>
      <c r="J236" s="56"/>
      <c r="K236" s="56"/>
      <c r="L236" s="56"/>
      <c r="M236" s="56"/>
      <c r="N236" s="56"/>
      <c r="O236" s="56"/>
      <c r="P236" s="56"/>
      <c r="Q236" s="56"/>
      <c r="R236" s="56"/>
      <c r="S236" s="56"/>
      <c r="T236" s="56"/>
      <c r="U236" s="56"/>
      <c r="V236" s="56"/>
      <c r="W236" s="56"/>
      <c r="X236" s="56"/>
      <c r="Y236" s="56"/>
      <c r="Z236" s="56"/>
      <c r="AB236" s="56"/>
      <c r="AC236" s="56" t="e">
        <f t="shared" ref="AC236:AD249" si="168">AC110/1000000*$K$2/AC$2</f>
        <v>#REF!</v>
      </c>
      <c r="AD236" s="56" t="e">
        <f t="shared" si="168"/>
        <v>#REF!</v>
      </c>
    </row>
    <row r="237" spans="1:30">
      <c r="A237" s="58" t="str">
        <f t="shared" si="167"/>
        <v>Managed reserve</v>
      </c>
      <c r="B237" s="23"/>
      <c r="C237" s="23"/>
      <c r="D237" s="23"/>
      <c r="E237" s="23"/>
      <c r="F237" s="56">
        <f t="shared" ref="F237:Z237" si="169">F111/1000000*$K$2/F$2</f>
        <v>73.813623660172823</v>
      </c>
      <c r="G237" s="56"/>
      <c r="H237" s="56">
        <f t="shared" si="169"/>
        <v>74.37610624692573</v>
      </c>
      <c r="I237" s="56">
        <f t="shared" si="169"/>
        <v>73.120786030496802</v>
      </c>
      <c r="J237" s="56">
        <f t="shared" si="169"/>
        <v>73.979246000000003</v>
      </c>
      <c r="K237" s="56">
        <f t="shared" si="169"/>
        <v>73.269430999999997</v>
      </c>
      <c r="L237" s="56">
        <f t="shared" si="169"/>
        <v>73.050996781086639</v>
      </c>
      <c r="M237" s="56">
        <f t="shared" si="169"/>
        <v>71.497715882221044</v>
      </c>
      <c r="N237" s="56">
        <f t="shared" si="169"/>
        <v>71.609663671714216</v>
      </c>
      <c r="O237" s="56">
        <f t="shared" si="169"/>
        <v>73.832819375943956</v>
      </c>
      <c r="P237" s="56">
        <f t="shared" si="169"/>
        <v>75.529838810120552</v>
      </c>
      <c r="Q237" s="56">
        <f t="shared" si="169"/>
        <v>74.403494394087261</v>
      </c>
      <c r="R237" s="56">
        <f t="shared" si="169"/>
        <v>75.105345257191033</v>
      </c>
      <c r="S237" s="56">
        <f t="shared" si="169"/>
        <v>0</v>
      </c>
      <c r="T237" s="56">
        <f t="shared" si="169"/>
        <v>0</v>
      </c>
      <c r="U237" s="56">
        <f t="shared" si="169"/>
        <v>0</v>
      </c>
      <c r="V237" s="56">
        <f t="shared" si="169"/>
        <v>0</v>
      </c>
      <c r="W237" s="56">
        <f t="shared" si="169"/>
        <v>0</v>
      </c>
      <c r="X237" s="56">
        <f t="shared" si="169"/>
        <v>0</v>
      </c>
      <c r="Y237" s="56">
        <f t="shared" si="169"/>
        <v>55.639818048122351</v>
      </c>
      <c r="Z237" s="56">
        <f t="shared" si="169"/>
        <v>53.435635666644664</v>
      </c>
      <c r="AB237" s="56" t="e">
        <f t="shared" ref="AB237:AB249" si="170">AB111/1000000*$K$2/AB$2</f>
        <v>#REF!</v>
      </c>
      <c r="AC237" s="56" t="e">
        <f t="shared" si="168"/>
        <v>#REF!</v>
      </c>
      <c r="AD237" s="56" t="e">
        <f t="shared" si="168"/>
        <v>#REF!</v>
      </c>
    </row>
    <row r="238" spans="1:30">
      <c r="A238" s="58" t="str">
        <f t="shared" si="167"/>
        <v>Reserve to address previous year's shortfall</v>
      </c>
      <c r="B238" s="23"/>
      <c r="C238" s="23"/>
      <c r="D238" s="23"/>
      <c r="E238" s="23"/>
      <c r="F238" s="56">
        <f t="shared" ref="F238:Z238" si="171">F112/1000000*$K$2/F$2</f>
        <v>0</v>
      </c>
      <c r="G238" s="56"/>
      <c r="H238" s="56">
        <f t="shared" si="171"/>
        <v>0</v>
      </c>
      <c r="I238" s="56">
        <f t="shared" si="171"/>
        <v>0</v>
      </c>
      <c r="J238" s="56">
        <f t="shared" si="171"/>
        <v>0</v>
      </c>
      <c r="K238" s="56">
        <f t="shared" si="171"/>
        <v>0</v>
      </c>
      <c r="L238" s="56">
        <f t="shared" si="171"/>
        <v>0</v>
      </c>
      <c r="M238" s="56">
        <f t="shared" si="171"/>
        <v>0</v>
      </c>
      <c r="N238" s="56">
        <f t="shared" si="171"/>
        <v>0</v>
      </c>
      <c r="O238" s="56">
        <f t="shared" si="171"/>
        <v>0</v>
      </c>
      <c r="P238" s="56">
        <f t="shared" si="171"/>
        <v>0</v>
      </c>
      <c r="Q238" s="56">
        <f t="shared" si="171"/>
        <v>0</v>
      </c>
      <c r="R238" s="56">
        <f t="shared" si="171"/>
        <v>0</v>
      </c>
      <c r="S238" s="56">
        <f t="shared" si="171"/>
        <v>0</v>
      </c>
      <c r="T238" s="56">
        <f t="shared" si="171"/>
        <v>0</v>
      </c>
      <c r="U238" s="56">
        <f t="shared" si="171"/>
        <v>0</v>
      </c>
      <c r="V238" s="56">
        <f t="shared" si="171"/>
        <v>0</v>
      </c>
      <c r="W238" s="56">
        <f t="shared" si="171"/>
        <v>0</v>
      </c>
      <c r="X238" s="56">
        <f t="shared" si="171"/>
        <v>0</v>
      </c>
      <c r="Y238" s="56">
        <f t="shared" si="171"/>
        <v>0</v>
      </c>
      <c r="Z238" s="56">
        <f t="shared" si="171"/>
        <v>0</v>
      </c>
      <c r="AB238" s="56" t="e">
        <f t="shared" si="170"/>
        <v>#REF!</v>
      </c>
      <c r="AC238" s="56" t="e">
        <f t="shared" si="168"/>
        <v>#REF!</v>
      </c>
      <c r="AD238" s="56" t="e">
        <f t="shared" si="168"/>
        <v>#REF!</v>
      </c>
    </row>
    <row r="239" spans="1:30">
      <c r="A239" s="58" t="str">
        <f t="shared" si="167"/>
        <v>Audit adjustments from previous year</v>
      </c>
      <c r="B239" s="23"/>
      <c r="C239" s="23"/>
      <c r="D239" s="23"/>
      <c r="E239" s="23"/>
      <c r="F239" s="56">
        <f t="shared" ref="F239:Z239" si="172">F113/1000000*$K$2/F$2</f>
        <v>0</v>
      </c>
      <c r="G239" s="56"/>
      <c r="H239" s="56">
        <f t="shared" si="172"/>
        <v>3.2284417117560258</v>
      </c>
      <c r="I239" s="56">
        <f t="shared" si="172"/>
        <v>0</v>
      </c>
      <c r="J239" s="56">
        <f t="shared" si="172"/>
        <v>0</v>
      </c>
      <c r="K239" s="56">
        <f t="shared" si="172"/>
        <v>0</v>
      </c>
      <c r="L239" s="56">
        <f t="shared" si="172"/>
        <v>1.5378816194284712</v>
      </c>
      <c r="M239" s="56">
        <f t="shared" si="172"/>
        <v>0.64250103881890019</v>
      </c>
      <c r="N239" s="56">
        <f t="shared" si="172"/>
        <v>2.6724101276737784</v>
      </c>
      <c r="O239" s="56">
        <f t="shared" si="172"/>
        <v>0.79045882087017416</v>
      </c>
      <c r="P239" s="56">
        <f t="shared" si="172"/>
        <v>0</v>
      </c>
      <c r="Q239" s="56">
        <f t="shared" si="172"/>
        <v>0</v>
      </c>
      <c r="R239" s="56">
        <f t="shared" si="172"/>
        <v>0</v>
      </c>
      <c r="S239" s="56">
        <f t="shared" si="172"/>
        <v>0</v>
      </c>
      <c r="T239" s="56">
        <f t="shared" si="172"/>
        <v>0</v>
      </c>
      <c r="U239" s="56">
        <f t="shared" si="172"/>
        <v>0</v>
      </c>
      <c r="V239" s="56">
        <f t="shared" si="172"/>
        <v>0</v>
      </c>
      <c r="W239" s="56">
        <f t="shared" si="172"/>
        <v>0</v>
      </c>
      <c r="X239" s="56">
        <f t="shared" si="172"/>
        <v>0</v>
      </c>
      <c r="Y239" s="56">
        <f t="shared" si="172"/>
        <v>0</v>
      </c>
      <c r="Z239" s="56">
        <f t="shared" si="172"/>
        <v>0</v>
      </c>
      <c r="AB239" s="56" t="e">
        <f t="shared" si="170"/>
        <v>#REF!</v>
      </c>
      <c r="AC239" s="56" t="e">
        <f t="shared" si="168"/>
        <v>#REF!</v>
      </c>
      <c r="AD239" s="56" t="e">
        <f t="shared" si="168"/>
        <v>#REF!</v>
      </c>
    </row>
    <row r="240" spans="1:30">
      <c r="A240" s="58" t="str">
        <f t="shared" si="167"/>
        <v>Reserve to balance next year's budget</v>
      </c>
      <c r="B240" s="23"/>
      <c r="C240" s="23"/>
      <c r="D240" s="23"/>
      <c r="E240" s="23"/>
      <c r="F240" s="56">
        <f t="shared" ref="F240:Z240" si="173">F114/1000000*$K$2/F$2</f>
        <v>0</v>
      </c>
      <c r="G240" s="56"/>
      <c r="H240" s="56">
        <f t="shared" si="173"/>
        <v>0</v>
      </c>
      <c r="I240" s="56">
        <f t="shared" si="173"/>
        <v>0</v>
      </c>
      <c r="J240" s="56">
        <f t="shared" si="173"/>
        <v>0</v>
      </c>
      <c r="K240" s="56">
        <f t="shared" si="173"/>
        <v>0</v>
      </c>
      <c r="L240" s="56">
        <f t="shared" si="173"/>
        <v>0</v>
      </c>
      <c r="M240" s="56">
        <f t="shared" si="173"/>
        <v>29.585755218522412</v>
      </c>
      <c r="N240" s="56">
        <f t="shared" si="173"/>
        <v>25.209372549341865</v>
      </c>
      <c r="O240" s="56">
        <f t="shared" si="173"/>
        <v>13.4944913054139</v>
      </c>
      <c r="P240" s="56">
        <f t="shared" si="173"/>
        <v>3.3104243090935364</v>
      </c>
      <c r="Q240" s="56">
        <f t="shared" si="173"/>
        <v>24.698306034523441</v>
      </c>
      <c r="R240" s="56">
        <f t="shared" si="173"/>
        <v>32.360168830949995</v>
      </c>
      <c r="S240" s="56">
        <f t="shared" si="173"/>
        <v>0</v>
      </c>
      <c r="T240" s="56">
        <f t="shared" si="173"/>
        <v>0</v>
      </c>
      <c r="U240" s="56">
        <f t="shared" si="173"/>
        <v>0</v>
      </c>
      <c r="V240" s="56">
        <f t="shared" si="173"/>
        <v>0</v>
      </c>
      <c r="W240" s="56">
        <f t="shared" si="173"/>
        <v>0</v>
      </c>
      <c r="X240" s="56">
        <f t="shared" si="173"/>
        <v>0</v>
      </c>
      <c r="Y240" s="56">
        <f t="shared" si="173"/>
        <v>0</v>
      </c>
      <c r="Z240" s="56">
        <f t="shared" si="173"/>
        <v>0</v>
      </c>
      <c r="AB240" s="56" t="e">
        <f t="shared" si="170"/>
        <v>#REF!</v>
      </c>
      <c r="AC240" s="56" t="e">
        <f t="shared" si="168"/>
        <v>#REF!</v>
      </c>
      <c r="AD240" s="56" t="e">
        <f t="shared" si="168"/>
        <v>#REF!</v>
      </c>
    </row>
    <row r="241" spans="1:30">
      <c r="A241" s="58" t="str">
        <f t="shared" si="167"/>
        <v>Additional revenue for this year</v>
      </c>
      <c r="B241" s="23"/>
      <c r="C241" s="23"/>
      <c r="D241" s="23"/>
      <c r="E241" s="23"/>
      <c r="F241" s="56">
        <f t="shared" ref="F241:Z241" si="174">F115/1000000*$K$2/F$2</f>
        <v>0</v>
      </c>
      <c r="G241" s="56"/>
      <c r="H241" s="56">
        <f t="shared" si="174"/>
        <v>0</v>
      </c>
      <c r="I241" s="56">
        <f t="shared" si="174"/>
        <v>0</v>
      </c>
      <c r="J241" s="56">
        <f t="shared" si="174"/>
        <v>0</v>
      </c>
      <c r="K241" s="56">
        <f t="shared" si="174"/>
        <v>0</v>
      </c>
      <c r="L241" s="56">
        <f t="shared" si="174"/>
        <v>0</v>
      </c>
      <c r="M241" s="56">
        <f t="shared" si="174"/>
        <v>30.423315117102042</v>
      </c>
      <c r="N241" s="56">
        <f t="shared" si="174"/>
        <v>7.7244390506855565</v>
      </c>
      <c r="O241" s="56">
        <f t="shared" si="174"/>
        <v>0</v>
      </c>
      <c r="P241" s="56">
        <f t="shared" si="174"/>
        <v>0</v>
      </c>
      <c r="Q241" s="56">
        <f t="shared" si="174"/>
        <v>0</v>
      </c>
      <c r="R241" s="56">
        <f t="shared" si="174"/>
        <v>0</v>
      </c>
      <c r="S241" s="56">
        <f t="shared" si="174"/>
        <v>0</v>
      </c>
      <c r="T241" s="56">
        <f t="shared" si="174"/>
        <v>0</v>
      </c>
      <c r="U241" s="56">
        <f t="shared" si="174"/>
        <v>0</v>
      </c>
      <c r="V241" s="56">
        <f t="shared" si="174"/>
        <v>0</v>
      </c>
      <c r="W241" s="56">
        <f t="shared" si="174"/>
        <v>0</v>
      </c>
      <c r="X241" s="56">
        <f t="shared" si="174"/>
        <v>0</v>
      </c>
      <c r="Y241" s="56">
        <f t="shared" si="174"/>
        <v>0</v>
      </c>
      <c r="Z241" s="56">
        <f t="shared" si="174"/>
        <v>0</v>
      </c>
      <c r="AB241" s="56" t="e">
        <f t="shared" si="170"/>
        <v>#REF!</v>
      </c>
      <c r="AC241" s="56" t="e">
        <f t="shared" si="168"/>
        <v>#REF!</v>
      </c>
      <c r="AD241" s="56" t="e">
        <f t="shared" si="168"/>
        <v>#REF!</v>
      </c>
    </row>
    <row r="242" spans="1:30">
      <c r="A242" s="58" t="str">
        <f t="shared" si="167"/>
        <v>Additional balances held in reserve for next year</v>
      </c>
      <c r="B242" s="23"/>
      <c r="C242" s="23"/>
      <c r="D242" s="23"/>
      <c r="E242" s="23"/>
      <c r="F242" s="56">
        <f t="shared" ref="F242:Z242" si="175">F116/1000000*$K$2/F$2</f>
        <v>0</v>
      </c>
      <c r="G242" s="56"/>
      <c r="H242" s="56">
        <f t="shared" si="175"/>
        <v>0</v>
      </c>
      <c r="I242" s="56">
        <f t="shared" si="175"/>
        <v>0</v>
      </c>
      <c r="J242" s="56">
        <f t="shared" si="175"/>
        <v>0</v>
      </c>
      <c r="K242" s="56">
        <f t="shared" si="175"/>
        <v>0</v>
      </c>
      <c r="L242" s="56">
        <f t="shared" si="175"/>
        <v>0</v>
      </c>
      <c r="M242" s="56">
        <f t="shared" si="175"/>
        <v>2.5387502350846258</v>
      </c>
      <c r="N242" s="56">
        <f t="shared" si="175"/>
        <v>0</v>
      </c>
      <c r="O242" s="56">
        <f t="shared" si="175"/>
        <v>0.58891454455506831</v>
      </c>
      <c r="P242" s="56">
        <f t="shared" si="175"/>
        <v>0</v>
      </c>
      <c r="Q242" s="56">
        <f t="shared" si="175"/>
        <v>0</v>
      </c>
      <c r="R242" s="56">
        <f t="shared" si="175"/>
        <v>0</v>
      </c>
      <c r="S242" s="56">
        <f t="shared" si="175"/>
        <v>0</v>
      </c>
      <c r="T242" s="56">
        <f t="shared" si="175"/>
        <v>0</v>
      </c>
      <c r="U242" s="56">
        <f t="shared" si="175"/>
        <v>0</v>
      </c>
      <c r="V242" s="56">
        <f t="shared" si="175"/>
        <v>0</v>
      </c>
      <c r="W242" s="56">
        <f t="shared" si="175"/>
        <v>0</v>
      </c>
      <c r="X242" s="56">
        <f t="shared" si="175"/>
        <v>0</v>
      </c>
      <c r="Y242" s="56">
        <f t="shared" si="175"/>
        <v>0</v>
      </c>
      <c r="Z242" s="56">
        <f t="shared" si="175"/>
        <v>0</v>
      </c>
      <c r="AB242" s="56" t="e">
        <f t="shared" si="170"/>
        <v>#REF!</v>
      </c>
      <c r="AC242" s="56" t="e">
        <f t="shared" si="168"/>
        <v>#REF!</v>
      </c>
      <c r="AD242" s="56" t="e">
        <f t="shared" si="168"/>
        <v>#REF!</v>
      </c>
    </row>
    <row r="243" spans="1:30">
      <c r="A243" s="58" t="str">
        <f t="shared" si="167"/>
        <v>Third-quarter reductions/reserves</v>
      </c>
      <c r="B243" s="23"/>
      <c r="C243" s="23"/>
      <c r="D243" s="23"/>
      <c r="E243" s="23"/>
      <c r="F243" s="56">
        <f t="shared" ref="F243:Z243" si="176">F117/1000000*$K$2/F$2</f>
        <v>0</v>
      </c>
      <c r="G243" s="56"/>
      <c r="H243" s="56">
        <f t="shared" si="176"/>
        <v>0</v>
      </c>
      <c r="I243" s="56">
        <f t="shared" si="176"/>
        <v>0</v>
      </c>
      <c r="J243" s="56">
        <f t="shared" si="176"/>
        <v>0</v>
      </c>
      <c r="K243" s="56">
        <f t="shared" si="176"/>
        <v>15.097928000000001</v>
      </c>
      <c r="L243" s="56">
        <f t="shared" si="176"/>
        <v>0</v>
      </c>
      <c r="M243" s="56">
        <f t="shared" si="176"/>
        <v>0</v>
      </c>
      <c r="N243" s="56">
        <f t="shared" si="176"/>
        <v>10.082425885517196</v>
      </c>
      <c r="O243" s="56">
        <f t="shared" si="176"/>
        <v>38.367667768495259</v>
      </c>
      <c r="P243" s="56">
        <f t="shared" si="176"/>
        <v>0</v>
      </c>
      <c r="Q243" s="56">
        <f t="shared" si="176"/>
        <v>0</v>
      </c>
      <c r="R243" s="56">
        <f t="shared" si="176"/>
        <v>0</v>
      </c>
      <c r="S243" s="56">
        <f t="shared" si="176"/>
        <v>0</v>
      </c>
      <c r="T243" s="56">
        <f t="shared" si="176"/>
        <v>0</v>
      </c>
      <c r="U243" s="56">
        <f t="shared" si="176"/>
        <v>0</v>
      </c>
      <c r="V243" s="56">
        <f t="shared" si="176"/>
        <v>0</v>
      </c>
      <c r="W243" s="56">
        <f t="shared" si="176"/>
        <v>0</v>
      </c>
      <c r="X243" s="56">
        <f t="shared" si="176"/>
        <v>0</v>
      </c>
      <c r="Y243" s="56">
        <f t="shared" si="176"/>
        <v>0</v>
      </c>
      <c r="Z243" s="56">
        <f t="shared" si="176"/>
        <v>0</v>
      </c>
      <c r="AB243" s="56" t="e">
        <f t="shared" si="170"/>
        <v>#REF!</v>
      </c>
      <c r="AC243" s="56" t="e">
        <f t="shared" si="168"/>
        <v>#REF!</v>
      </c>
      <c r="AD243" s="56" t="e">
        <f t="shared" si="168"/>
        <v>#REF!</v>
      </c>
    </row>
    <row r="244" spans="1:30">
      <c r="A244" s="58" t="str">
        <f t="shared" si="167"/>
        <v>Child Care Assistance and Referral (CCAR) Reserve</v>
      </c>
      <c r="B244" s="23"/>
      <c r="C244" s="23"/>
      <c r="D244" s="23"/>
      <c r="E244" s="23"/>
      <c r="F244" s="56">
        <f t="shared" ref="F244:Z244" si="177">F118/1000000*$K$2/F$2</f>
        <v>0</v>
      </c>
      <c r="G244" s="56"/>
      <c r="H244" s="56">
        <f t="shared" si="177"/>
        <v>0</v>
      </c>
      <c r="I244" s="56">
        <f t="shared" si="177"/>
        <v>0</v>
      </c>
      <c r="J244" s="56">
        <f t="shared" si="177"/>
        <v>0</v>
      </c>
      <c r="K244" s="56">
        <f t="shared" si="177"/>
        <v>0</v>
      </c>
      <c r="L244" s="56">
        <f t="shared" si="177"/>
        <v>0</v>
      </c>
      <c r="M244" s="56">
        <f t="shared" si="177"/>
        <v>1.5466622772743324</v>
      </c>
      <c r="N244" s="56">
        <f t="shared" si="177"/>
        <v>0</v>
      </c>
      <c r="O244" s="56">
        <f t="shared" si="177"/>
        <v>0</v>
      </c>
      <c r="P244" s="56">
        <f t="shared" si="177"/>
        <v>0</v>
      </c>
      <c r="Q244" s="56">
        <f t="shared" si="177"/>
        <v>0</v>
      </c>
      <c r="R244" s="56">
        <f t="shared" si="177"/>
        <v>0</v>
      </c>
      <c r="S244" s="56">
        <f t="shared" si="177"/>
        <v>0</v>
      </c>
      <c r="T244" s="56">
        <f t="shared" si="177"/>
        <v>0</v>
      </c>
      <c r="U244" s="56">
        <f t="shared" si="177"/>
        <v>0</v>
      </c>
      <c r="V244" s="56">
        <f t="shared" si="177"/>
        <v>0</v>
      </c>
      <c r="W244" s="56">
        <f t="shared" si="177"/>
        <v>0</v>
      </c>
      <c r="X244" s="56">
        <f t="shared" si="177"/>
        <v>0</v>
      </c>
      <c r="Y244" s="56">
        <f t="shared" si="177"/>
        <v>0</v>
      </c>
      <c r="Z244" s="56">
        <f t="shared" si="177"/>
        <v>0</v>
      </c>
      <c r="AB244" s="56" t="e">
        <f t="shared" si="170"/>
        <v>#REF!</v>
      </c>
      <c r="AC244" s="56" t="e">
        <f t="shared" si="168"/>
        <v>#REF!</v>
      </c>
      <c r="AD244" s="56" t="e">
        <f t="shared" si="168"/>
        <v>#REF!</v>
      </c>
    </row>
    <row r="245" spans="1:30">
      <c r="A245" s="58" t="str">
        <f t="shared" si="167"/>
        <v>Reserve for State/Federal Reductions and Federal Sequestration Cuts</v>
      </c>
      <c r="B245" s="23"/>
      <c r="C245" s="23"/>
      <c r="D245" s="23"/>
      <c r="E245" s="23"/>
      <c r="F245" s="56">
        <f t="shared" ref="F245:Z245" si="178">F119/1000000*$K$2/F$2</f>
        <v>7.4500016815510142</v>
      </c>
      <c r="G245" s="56"/>
      <c r="H245" s="56">
        <f t="shared" si="178"/>
        <v>7.5729267092966053</v>
      </c>
      <c r="I245" s="56">
        <f t="shared" si="178"/>
        <v>7.5729267092966053</v>
      </c>
      <c r="J245" s="56">
        <f t="shared" si="178"/>
        <v>7.6978799999999996</v>
      </c>
      <c r="K245" s="56">
        <f t="shared" si="178"/>
        <v>7.6978799999999996</v>
      </c>
      <c r="L245" s="56">
        <f t="shared" si="178"/>
        <v>8.2311642976127573</v>
      </c>
      <c r="M245" s="56">
        <f t="shared" si="178"/>
        <v>0</v>
      </c>
      <c r="N245" s="56">
        <f t="shared" si="178"/>
        <v>0</v>
      </c>
      <c r="O245" s="56">
        <f t="shared" si="178"/>
        <v>0</v>
      </c>
      <c r="P245" s="56">
        <f t="shared" si="178"/>
        <v>0</v>
      </c>
      <c r="Q245" s="56">
        <f t="shared" si="178"/>
        <v>0</v>
      </c>
      <c r="R245" s="56">
        <f t="shared" si="178"/>
        <v>0</v>
      </c>
      <c r="S245" s="56">
        <f t="shared" si="178"/>
        <v>0</v>
      </c>
      <c r="T245" s="56">
        <f t="shared" si="178"/>
        <v>0</v>
      </c>
      <c r="U245" s="56">
        <f t="shared" si="178"/>
        <v>0</v>
      </c>
      <c r="V245" s="56">
        <f t="shared" si="178"/>
        <v>0</v>
      </c>
      <c r="W245" s="56">
        <f t="shared" si="178"/>
        <v>0</v>
      </c>
      <c r="X245" s="56">
        <f t="shared" si="178"/>
        <v>0</v>
      </c>
      <c r="Y245" s="56">
        <f t="shared" si="178"/>
        <v>0</v>
      </c>
      <c r="Z245" s="56">
        <f t="shared" si="178"/>
        <v>0</v>
      </c>
      <c r="AB245" s="56" t="e">
        <f t="shared" si="170"/>
        <v>#REF!</v>
      </c>
      <c r="AC245" s="56" t="e">
        <f t="shared" si="168"/>
        <v>#REF!</v>
      </c>
      <c r="AD245" s="56" t="e">
        <f t="shared" si="168"/>
        <v>#REF!</v>
      </c>
    </row>
    <row r="246" spans="1:30">
      <c r="A246" s="58" t="str">
        <f t="shared" si="167"/>
        <v>Litigation Reserve</v>
      </c>
      <c r="B246" s="23"/>
      <c r="C246" s="23"/>
      <c r="D246" s="23"/>
      <c r="E246" s="23"/>
      <c r="F246" s="56">
        <f t="shared" ref="F246:Z246" si="179">F120/1000000*$K$2/F$2</f>
        <v>0</v>
      </c>
      <c r="G246" s="56"/>
      <c r="H246" s="56">
        <f t="shared" si="179"/>
        <v>0</v>
      </c>
      <c r="I246" s="56">
        <f t="shared" si="179"/>
        <v>0</v>
      </c>
      <c r="J246" s="56">
        <f t="shared" si="179"/>
        <v>0</v>
      </c>
      <c r="K246" s="56">
        <f t="shared" si="179"/>
        <v>30</v>
      </c>
      <c r="L246" s="56">
        <f t="shared" si="179"/>
        <v>5.0811111488704102</v>
      </c>
      <c r="M246" s="56">
        <f t="shared" si="179"/>
        <v>0</v>
      </c>
      <c r="N246" s="56">
        <f t="shared" si="179"/>
        <v>0</v>
      </c>
      <c r="O246" s="56">
        <f t="shared" si="179"/>
        <v>0</v>
      </c>
      <c r="P246" s="56">
        <f t="shared" si="179"/>
        <v>0</v>
      </c>
      <c r="Q246" s="56">
        <f t="shared" si="179"/>
        <v>0</v>
      </c>
      <c r="R246" s="56">
        <f t="shared" si="179"/>
        <v>0</v>
      </c>
      <c r="S246" s="56">
        <f t="shared" si="179"/>
        <v>0</v>
      </c>
      <c r="T246" s="56">
        <f t="shared" si="179"/>
        <v>0</v>
      </c>
      <c r="U246" s="56">
        <f t="shared" si="179"/>
        <v>0</v>
      </c>
      <c r="V246" s="56">
        <f t="shared" si="179"/>
        <v>0</v>
      </c>
      <c r="W246" s="56">
        <f t="shared" si="179"/>
        <v>0</v>
      </c>
      <c r="X246" s="56">
        <f t="shared" si="179"/>
        <v>0</v>
      </c>
      <c r="Y246" s="56">
        <f t="shared" si="179"/>
        <v>0</v>
      </c>
      <c r="Z246" s="56">
        <f t="shared" si="179"/>
        <v>0</v>
      </c>
      <c r="AB246" s="56" t="e">
        <f t="shared" si="170"/>
        <v>#REF!</v>
      </c>
      <c r="AC246" s="56" t="e">
        <f t="shared" si="168"/>
        <v>#REF!</v>
      </c>
      <c r="AD246" s="56" t="e">
        <f t="shared" si="168"/>
        <v>#REF!</v>
      </c>
    </row>
    <row r="247" spans="1:30">
      <c r="A247" s="58" t="str">
        <f t="shared" si="167"/>
        <v>Transportation Reserve</v>
      </c>
      <c r="B247" s="23"/>
      <c r="C247" s="23"/>
      <c r="D247" s="23"/>
      <c r="E247" s="23"/>
      <c r="F247" s="56">
        <f t="shared" ref="F247:Z247" si="180">F121/1000000*$K$2/F$2</f>
        <v>0</v>
      </c>
      <c r="G247" s="56"/>
      <c r="H247" s="56">
        <f t="shared" si="180"/>
        <v>0</v>
      </c>
      <c r="I247" s="56">
        <f t="shared" si="180"/>
        <v>0</v>
      </c>
      <c r="J247" s="56">
        <f t="shared" si="180"/>
        <v>0</v>
      </c>
      <c r="K247" s="56">
        <f t="shared" si="180"/>
        <v>0</v>
      </c>
      <c r="L247" s="56">
        <f t="shared" si="180"/>
        <v>0.54707714006549857</v>
      </c>
      <c r="M247" s="56">
        <f t="shared" si="180"/>
        <v>0</v>
      </c>
      <c r="N247" s="56">
        <f t="shared" si="180"/>
        <v>0</v>
      </c>
      <c r="O247" s="56">
        <f t="shared" si="180"/>
        <v>0</v>
      </c>
      <c r="P247" s="56">
        <f t="shared" si="180"/>
        <v>0</v>
      </c>
      <c r="Q247" s="56">
        <f t="shared" si="180"/>
        <v>0</v>
      </c>
      <c r="R247" s="56">
        <f t="shared" si="180"/>
        <v>0</v>
      </c>
      <c r="S247" s="56">
        <f t="shared" si="180"/>
        <v>0</v>
      </c>
      <c r="T247" s="56">
        <f t="shared" si="180"/>
        <v>0</v>
      </c>
      <c r="U247" s="56">
        <f t="shared" si="180"/>
        <v>0</v>
      </c>
      <c r="V247" s="56">
        <f t="shared" si="180"/>
        <v>0</v>
      </c>
      <c r="W247" s="56">
        <f t="shared" si="180"/>
        <v>0</v>
      </c>
      <c r="X247" s="56">
        <f t="shared" si="180"/>
        <v>0</v>
      </c>
      <c r="Y247" s="56">
        <f t="shared" si="180"/>
        <v>0</v>
      </c>
      <c r="Z247" s="56">
        <f t="shared" si="180"/>
        <v>0</v>
      </c>
      <c r="AB247" s="56" t="e">
        <f t="shared" si="170"/>
        <v>#REF!</v>
      </c>
      <c r="AC247" s="56" t="e">
        <f t="shared" si="168"/>
        <v>#REF!</v>
      </c>
      <c r="AD247" s="56" t="e">
        <f t="shared" si="168"/>
        <v>#REF!</v>
      </c>
    </row>
    <row r="248" spans="1:30">
      <c r="A248" s="58" t="str">
        <f t="shared" si="167"/>
        <v>Reserve for next year's budget development</v>
      </c>
      <c r="B248" s="23"/>
      <c r="C248" s="23"/>
      <c r="D248" s="23"/>
      <c r="E248" s="23"/>
      <c r="F248" s="56">
        <f t="shared" ref="F248:Z248" si="181">F122/1000000*$K$2/F$2</f>
        <v>0</v>
      </c>
      <c r="G248" s="56"/>
      <c r="H248" s="56">
        <f t="shared" si="181"/>
        <v>0</v>
      </c>
      <c r="I248" s="56">
        <f t="shared" si="181"/>
        <v>0</v>
      </c>
      <c r="J248" s="56">
        <f t="shared" si="181"/>
        <v>0</v>
      </c>
      <c r="K248" s="56">
        <f t="shared" si="181"/>
        <v>0</v>
      </c>
      <c r="L248" s="56">
        <f t="shared" si="181"/>
        <v>0.75437529649488377</v>
      </c>
      <c r="M248" s="56">
        <f t="shared" si="181"/>
        <v>0</v>
      </c>
      <c r="N248" s="56">
        <f t="shared" si="181"/>
        <v>0</v>
      </c>
      <c r="O248" s="56">
        <f t="shared" si="181"/>
        <v>0</v>
      </c>
      <c r="P248" s="56">
        <f t="shared" si="181"/>
        <v>0</v>
      </c>
      <c r="Q248" s="56">
        <f t="shared" si="181"/>
        <v>0</v>
      </c>
      <c r="R248" s="56">
        <f t="shared" si="181"/>
        <v>0</v>
      </c>
      <c r="S248" s="56">
        <f t="shared" si="181"/>
        <v>0</v>
      </c>
      <c r="T248" s="56">
        <f t="shared" si="181"/>
        <v>0</v>
      </c>
      <c r="U248" s="56">
        <f t="shared" si="181"/>
        <v>0</v>
      </c>
      <c r="V248" s="56">
        <f t="shared" si="181"/>
        <v>0</v>
      </c>
      <c r="W248" s="56">
        <f t="shared" si="181"/>
        <v>0</v>
      </c>
      <c r="X248" s="56">
        <f t="shared" si="181"/>
        <v>0</v>
      </c>
      <c r="Y248" s="56">
        <f t="shared" si="181"/>
        <v>0</v>
      </c>
      <c r="Z248" s="56">
        <f t="shared" si="181"/>
        <v>0</v>
      </c>
      <c r="AB248" s="56" t="e">
        <f t="shared" si="170"/>
        <v>#REF!</v>
      </c>
      <c r="AC248" s="56" t="e">
        <f t="shared" si="168"/>
        <v>#REF!</v>
      </c>
      <c r="AD248" s="56" t="e">
        <f t="shared" si="168"/>
        <v>#REF!</v>
      </c>
    </row>
    <row r="249" spans="1:30">
      <c r="A249" s="58" t="str">
        <f t="shared" si="167"/>
        <v>Audit adjustments for this year</v>
      </c>
      <c r="B249" s="23"/>
      <c r="C249" s="23"/>
      <c r="D249" s="23"/>
      <c r="E249" s="23"/>
      <c r="F249" s="56">
        <f t="shared" ref="F249:Z249" si="182">F123/1000000*$K$2/F$2</f>
        <v>0</v>
      </c>
      <c r="G249" s="56"/>
      <c r="H249" s="56">
        <f t="shared" si="182"/>
        <v>0</v>
      </c>
      <c r="I249" s="56">
        <f t="shared" si="182"/>
        <v>0</v>
      </c>
      <c r="J249" s="56">
        <f t="shared" si="182"/>
        <v>0</v>
      </c>
      <c r="K249" s="56">
        <f t="shared" si="182"/>
        <v>1.4694499999999999</v>
      </c>
      <c r="L249" s="56">
        <f t="shared" si="182"/>
        <v>1.4932877555415249</v>
      </c>
      <c r="M249" s="56">
        <f t="shared" si="182"/>
        <v>0</v>
      </c>
      <c r="N249" s="56">
        <f t="shared" si="182"/>
        <v>0</v>
      </c>
      <c r="O249" s="56">
        <f t="shared" si="182"/>
        <v>0</v>
      </c>
      <c r="P249" s="56">
        <f t="shared" si="182"/>
        <v>0</v>
      </c>
      <c r="Q249" s="56">
        <f t="shared" si="182"/>
        <v>0</v>
      </c>
      <c r="R249" s="56">
        <f t="shared" si="182"/>
        <v>0</v>
      </c>
      <c r="S249" s="56">
        <f t="shared" si="182"/>
        <v>0</v>
      </c>
      <c r="T249" s="56">
        <f t="shared" si="182"/>
        <v>0</v>
      </c>
      <c r="U249" s="56">
        <f t="shared" si="182"/>
        <v>0</v>
      </c>
      <c r="V249" s="56">
        <f t="shared" si="182"/>
        <v>0</v>
      </c>
      <c r="W249" s="56">
        <f t="shared" si="182"/>
        <v>0</v>
      </c>
      <c r="X249" s="56">
        <f t="shared" si="182"/>
        <v>0</v>
      </c>
      <c r="Y249" s="56">
        <f t="shared" si="182"/>
        <v>0</v>
      </c>
      <c r="Z249" s="56">
        <f t="shared" si="182"/>
        <v>0</v>
      </c>
      <c r="AB249" s="56" t="e">
        <f t="shared" si="170"/>
        <v>#REF!</v>
      </c>
      <c r="AC249" s="56" t="e">
        <f t="shared" si="168"/>
        <v>#REF!</v>
      </c>
      <c r="AD249" s="56" t="e">
        <f t="shared" si="168"/>
        <v>#REF!</v>
      </c>
    </row>
    <row r="250" spans="1:30">
      <c r="A250" s="58" t="str">
        <f t="shared" ref="A250" si="183">A125</f>
        <v>Reserve for Board Consideration</v>
      </c>
      <c r="B250" s="23"/>
      <c r="C250" s="23"/>
      <c r="D250" s="23"/>
      <c r="E250" s="23"/>
      <c r="F250" s="56">
        <f t="shared" ref="F250:Z250" si="184">F125/1000000*$K$2/F$2</f>
        <v>0</v>
      </c>
      <c r="G250" s="56"/>
      <c r="H250" s="56">
        <f t="shared" si="184"/>
        <v>0</v>
      </c>
      <c r="I250" s="56">
        <f t="shared" si="184"/>
        <v>0</v>
      </c>
      <c r="J250" s="56">
        <f t="shared" si="184"/>
        <v>0</v>
      </c>
      <c r="K250" s="56">
        <f t="shared" si="184"/>
        <v>0</v>
      </c>
      <c r="L250" s="56">
        <f t="shared" si="184"/>
        <v>0</v>
      </c>
      <c r="M250" s="56">
        <f t="shared" si="184"/>
        <v>0</v>
      </c>
      <c r="N250" s="56">
        <f t="shared" si="184"/>
        <v>4.9700234384007533</v>
      </c>
      <c r="O250" s="56">
        <f t="shared" si="184"/>
        <v>0</v>
      </c>
      <c r="P250" s="56">
        <f t="shared" si="184"/>
        <v>0</v>
      </c>
      <c r="Q250" s="56">
        <f t="shared" si="184"/>
        <v>0</v>
      </c>
      <c r="R250" s="56">
        <f t="shared" si="184"/>
        <v>0</v>
      </c>
      <c r="S250" s="56">
        <f t="shared" si="184"/>
        <v>0</v>
      </c>
      <c r="T250" s="56">
        <f t="shared" si="184"/>
        <v>0</v>
      </c>
      <c r="U250" s="56">
        <f t="shared" si="184"/>
        <v>0</v>
      </c>
      <c r="V250" s="56">
        <f t="shared" si="184"/>
        <v>0</v>
      </c>
      <c r="W250" s="56">
        <f t="shared" si="184"/>
        <v>0</v>
      </c>
      <c r="X250" s="56">
        <f t="shared" si="184"/>
        <v>0</v>
      </c>
      <c r="Y250" s="56">
        <f t="shared" si="184"/>
        <v>0</v>
      </c>
      <c r="Z250" s="56">
        <f t="shared" si="184"/>
        <v>20.345663189607848</v>
      </c>
      <c r="AB250" s="56" t="e">
        <f t="shared" ref="AB250:AD251" si="185">AB125/1000000*$K$2/AB$2</f>
        <v>#REF!</v>
      </c>
      <c r="AC250" s="56" t="e">
        <f t="shared" si="185"/>
        <v>#REF!</v>
      </c>
      <c r="AD250" s="56" t="e">
        <f t="shared" si="185"/>
        <v>#REF!</v>
      </c>
    </row>
    <row r="251" spans="1:30">
      <c r="A251" s="58" t="str">
        <f>A126</f>
        <v>Retirement Reserve</v>
      </c>
      <c r="B251" s="23"/>
      <c r="C251" s="23"/>
      <c r="D251" s="23"/>
      <c r="E251" s="23"/>
      <c r="F251" s="56">
        <f t="shared" ref="F251:Z251" si="186">F126/1000000*$K$2/F$2</f>
        <v>0</v>
      </c>
      <c r="G251" s="56"/>
      <c r="H251" s="56">
        <f t="shared" si="186"/>
        <v>0</v>
      </c>
      <c r="I251" s="56">
        <f t="shared" si="186"/>
        <v>0</v>
      </c>
      <c r="J251" s="56">
        <f t="shared" si="186"/>
        <v>0</v>
      </c>
      <c r="K251" s="56">
        <f t="shared" si="186"/>
        <v>0</v>
      </c>
      <c r="L251" s="56">
        <f t="shared" si="186"/>
        <v>0</v>
      </c>
      <c r="M251" s="56">
        <f t="shared" si="186"/>
        <v>0</v>
      </c>
      <c r="N251" s="56">
        <f t="shared" si="186"/>
        <v>15.786679361456988</v>
      </c>
      <c r="O251" s="56">
        <f t="shared" si="186"/>
        <v>21.713336635237429</v>
      </c>
      <c r="P251" s="56">
        <f t="shared" si="186"/>
        <v>0</v>
      </c>
      <c r="Q251" s="56">
        <f t="shared" si="186"/>
        <v>0</v>
      </c>
      <c r="R251" s="56">
        <f t="shared" si="186"/>
        <v>0</v>
      </c>
      <c r="S251" s="56">
        <f t="shared" si="186"/>
        <v>0</v>
      </c>
      <c r="T251" s="56">
        <f t="shared" si="186"/>
        <v>0</v>
      </c>
      <c r="U251" s="56">
        <f t="shared" si="186"/>
        <v>0</v>
      </c>
      <c r="V251" s="56">
        <f t="shared" si="186"/>
        <v>0</v>
      </c>
      <c r="W251" s="56">
        <f t="shared" si="186"/>
        <v>0</v>
      </c>
      <c r="X251" s="56">
        <f t="shared" si="186"/>
        <v>0</v>
      </c>
      <c r="Y251" s="56">
        <f t="shared" si="186"/>
        <v>0</v>
      </c>
      <c r="Z251" s="56">
        <f t="shared" si="186"/>
        <v>0</v>
      </c>
      <c r="AB251" s="56" t="e">
        <f t="shared" si="185"/>
        <v>#REF!</v>
      </c>
      <c r="AC251" s="56" t="e">
        <f t="shared" si="185"/>
        <v>#REF!</v>
      </c>
      <c r="AD251" s="56" t="e">
        <f t="shared" si="185"/>
        <v>#REF!</v>
      </c>
    </row>
    <row r="252" spans="1:30">
      <c r="A252" s="58"/>
      <c r="B252" s="23"/>
      <c r="C252" s="23"/>
      <c r="D252" s="23"/>
      <c r="E252" s="23"/>
      <c r="F252" s="56"/>
      <c r="G252" s="56"/>
      <c r="H252" s="56"/>
      <c r="I252" s="56"/>
      <c r="J252" s="56"/>
      <c r="K252" s="56"/>
      <c r="L252" s="56"/>
      <c r="M252" s="56"/>
      <c r="N252" s="56"/>
      <c r="O252" s="56"/>
      <c r="P252" s="56"/>
      <c r="Q252" s="56"/>
      <c r="R252" s="56"/>
      <c r="S252" s="56"/>
      <c r="T252" s="56"/>
      <c r="U252" s="56"/>
      <c r="V252" s="56"/>
      <c r="W252" s="56"/>
      <c r="X252" s="56"/>
      <c r="Y252" s="56"/>
      <c r="Z252" s="56"/>
      <c r="AB252" s="56"/>
      <c r="AC252" s="56"/>
      <c r="AD252" s="56"/>
    </row>
    <row r="253" spans="1:30">
      <c r="A253" s="61" t="str">
        <f t="shared" ref="A253" si="187">A129</f>
        <v>Total Available</v>
      </c>
      <c r="F253" s="60">
        <f t="shared" ref="F253:Z253" si="188">F129/1000000*$K$2/F$2</f>
        <v>2.9651352777547251</v>
      </c>
      <c r="G253" s="60"/>
      <c r="H253" s="60">
        <f t="shared" si="188"/>
        <v>0</v>
      </c>
      <c r="I253" s="60">
        <f t="shared" si="188"/>
        <v>0</v>
      </c>
      <c r="J253" s="60">
        <f t="shared" si="188"/>
        <v>74.714130999999995</v>
      </c>
      <c r="K253" s="60">
        <f t="shared" si="188"/>
        <v>0</v>
      </c>
      <c r="L253" s="60">
        <f t="shared" si="188"/>
        <v>95.07742154543844</v>
      </c>
      <c r="M253" s="60">
        <f t="shared" si="188"/>
        <v>79.720084973991391</v>
      </c>
      <c r="N253" s="60">
        <f t="shared" si="188"/>
        <v>110.57041057872019</v>
      </c>
      <c r="O253" s="60">
        <f t="shared" si="188"/>
        <v>112.07297123238145</v>
      </c>
      <c r="P253" s="60">
        <f t="shared" si="188"/>
        <v>125.72801066192002</v>
      </c>
      <c r="Q253" s="60">
        <f t="shared" si="188"/>
        <v>78.357285145655965</v>
      </c>
      <c r="R253" s="60">
        <f t="shared" si="188"/>
        <v>102.84569700186407</v>
      </c>
      <c r="S253" s="60">
        <f t="shared" si="188"/>
        <v>201.38393450375168</v>
      </c>
      <c r="T253" s="60">
        <f t="shared" si="188"/>
        <v>217.2185752285919</v>
      </c>
      <c r="U253" s="60">
        <f t="shared" si="188"/>
        <v>192.67304170651846</v>
      </c>
      <c r="V253" s="60">
        <f t="shared" si="188"/>
        <v>152.9705633769058</v>
      </c>
      <c r="W253" s="60">
        <f t="shared" si="188"/>
        <v>124.44645087789792</v>
      </c>
      <c r="X253" s="60">
        <f t="shared" si="188"/>
        <v>105.01797614904198</v>
      </c>
      <c r="Y253" s="60">
        <f t="shared" si="188"/>
        <v>66.006952586359873</v>
      </c>
      <c r="Z253" s="60">
        <f t="shared" si="188"/>
        <v>61.419406579084644</v>
      </c>
      <c r="AB253" s="60" t="e">
        <f>AB129/1000000*$K$2/AB$2</f>
        <v>#REF!</v>
      </c>
      <c r="AC253" s="60" t="e">
        <f>AC129/1000000*$K$2/AC$2</f>
        <v>#REF!</v>
      </c>
      <c r="AD253" s="60" t="e">
        <f>AD129/1000000*$K$2/AD$2</f>
        <v>#REF!</v>
      </c>
    </row>
  </sheetData>
  <sortState ref="A299:S342">
    <sortCondition ref="C56:C99"/>
  </sortState>
  <pageMargins left="0.7" right="0.7" top="0.75" bottom="0.75" header="0.3" footer="0.3"/>
  <pageSetup scale="21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6">
    <pageSetUpPr fitToPage="1"/>
  </sheetPr>
  <dimension ref="A1:AE281"/>
  <sheetViews>
    <sheetView workbookViewId="0">
      <pane xSplit="2" ySplit="5" topLeftCell="C6" activePane="bottomRight" state="frozen"/>
      <selection pane="topRight" activeCell="C1" sqref="C1"/>
      <selection pane="bottomLeft" activeCell="A5" sqref="A5"/>
      <selection pane="bottomRight" activeCell="D2" sqref="D2"/>
    </sheetView>
  </sheetViews>
  <sheetFormatPr defaultRowHeight="15"/>
  <cols>
    <col min="1" max="1" width="64" bestFit="1" customWidth="1"/>
    <col min="2" max="2" width="7.140625" bestFit="1" customWidth="1"/>
    <col min="3" max="31" width="14.7109375" customWidth="1"/>
  </cols>
  <sheetData>
    <row r="1" spans="1:31">
      <c r="A1" s="21" t="s">
        <v>644</v>
      </c>
      <c r="D1" t="s">
        <v>590</v>
      </c>
      <c r="E1" t="s">
        <v>663</v>
      </c>
    </row>
    <row r="2" spans="1:31">
      <c r="A2" t="s">
        <v>539</v>
      </c>
      <c r="E2" s="71"/>
      <c r="F2" s="71"/>
      <c r="J2" t="s">
        <v>510</v>
      </c>
      <c r="K2" t="s">
        <v>510</v>
      </c>
      <c r="L2" t="s">
        <v>457</v>
      </c>
      <c r="M2" t="s">
        <v>459</v>
      </c>
      <c r="N2" t="s">
        <v>458</v>
      </c>
      <c r="O2" t="s">
        <v>460</v>
      </c>
      <c r="P2" t="s">
        <v>462</v>
      </c>
      <c r="Q2" t="s">
        <v>463</v>
      </c>
      <c r="R2" t="s">
        <v>464</v>
      </c>
      <c r="S2" t="s">
        <v>465</v>
      </c>
      <c r="T2" t="s">
        <v>466</v>
      </c>
      <c r="U2" t="s">
        <v>467</v>
      </c>
      <c r="V2" t="s">
        <v>468</v>
      </c>
      <c r="W2" t="s">
        <v>469</v>
      </c>
      <c r="X2" t="s">
        <v>470</v>
      </c>
      <c r="Y2" t="s">
        <v>485</v>
      </c>
    </row>
    <row r="3" spans="1:31">
      <c r="A3" t="s">
        <v>0</v>
      </c>
      <c r="C3">
        <f>'Rev and Major Expenditures'!D3</f>
        <v>247.05904070392211</v>
      </c>
      <c r="D3">
        <f>E3</f>
        <v>244.6129115880417</v>
      </c>
      <c r="E3">
        <f>'Rev and Major Expenditures'!F3</f>
        <v>244.6129115880417</v>
      </c>
      <c r="F3">
        <f>G3</f>
        <v>240.6423134166667</v>
      </c>
      <c r="G3">
        <f>'Rev and Major Expenditures'!H3</f>
        <v>240.6423134166667</v>
      </c>
      <c r="H3">
        <f>'Rev and Major Expenditures'!I3</f>
        <v>240.6423134166667</v>
      </c>
      <c r="I3">
        <f>'Rev and Major Expenditures'!J3</f>
        <v>236.73616666666669</v>
      </c>
      <c r="J3">
        <f>'Rev and Major Expenditures'!K3</f>
        <v>236.73616666666669</v>
      </c>
      <c r="K3">
        <f>'Rev and Major Expenditures'!L3</f>
        <v>232.95708333333334</v>
      </c>
      <c r="L3">
        <f>'Rev and Major Expenditures'!M3</f>
        <v>229.5939166666667</v>
      </c>
      <c r="M3">
        <f>'Rev and Major Expenditures'!N3</f>
        <v>224.93916666666667</v>
      </c>
      <c r="N3">
        <f>'Rev and Major Expenditures'!O3</f>
        <v>218.05600000000001</v>
      </c>
      <c r="O3">
        <f>'Rev and Major Expenditures'!P3</f>
        <v>214.53700000000001</v>
      </c>
      <c r="P3">
        <f>'Rev and Major Expenditures'!Q3</f>
        <v>215.303</v>
      </c>
      <c r="Q3">
        <f>'Rev and Major Expenditures'!R3</f>
        <v>207.34200000000001</v>
      </c>
      <c r="R3">
        <f>'Rev and Major Expenditures'!S3</f>
        <v>201.6</v>
      </c>
      <c r="S3">
        <f>'Rev and Major Expenditures'!T3</f>
        <v>195.3</v>
      </c>
      <c r="T3">
        <f>'Rev and Major Expenditures'!U3</f>
        <v>188.9</v>
      </c>
      <c r="U3">
        <f>'Rev and Major Expenditures'!V3</f>
        <v>184</v>
      </c>
      <c r="V3">
        <f>'Rev and Major Expenditures'!W3</f>
        <v>179.9</v>
      </c>
      <c r="W3">
        <f>'Rev and Major Expenditures'!X3</f>
        <v>177.1</v>
      </c>
      <c r="X3">
        <f>'Rev and Major Expenditures'!Y3</f>
        <v>172.2</v>
      </c>
      <c r="Y3">
        <f>'Rev and Major Expenditures'!Z3</f>
        <v>166.6</v>
      </c>
    </row>
    <row r="4" spans="1:31">
      <c r="A4" s="84" t="s">
        <v>520</v>
      </c>
      <c r="B4" s="85"/>
      <c r="C4" s="85">
        <v>2017</v>
      </c>
      <c r="D4" s="85">
        <v>2016</v>
      </c>
      <c r="E4" s="81">
        <v>2016</v>
      </c>
      <c r="F4" s="85">
        <v>2015</v>
      </c>
      <c r="G4" s="81">
        <v>2015</v>
      </c>
      <c r="H4" s="81">
        <v>2015</v>
      </c>
      <c r="I4" s="15">
        <v>2014</v>
      </c>
      <c r="J4" s="13">
        <v>2014</v>
      </c>
      <c r="K4" s="13">
        <f>J4-1</f>
        <v>2013</v>
      </c>
      <c r="L4" s="13">
        <v>2012</v>
      </c>
      <c r="M4" s="13">
        <v>2011</v>
      </c>
      <c r="N4" s="13">
        <v>2010</v>
      </c>
      <c r="O4" s="13">
        <f t="shared" ref="O4:X4" si="0">N4-1</f>
        <v>2009</v>
      </c>
      <c r="P4" s="13">
        <f t="shared" si="0"/>
        <v>2008</v>
      </c>
      <c r="Q4" s="13">
        <f t="shared" si="0"/>
        <v>2007</v>
      </c>
      <c r="R4" s="13">
        <f t="shared" si="0"/>
        <v>2006</v>
      </c>
      <c r="S4" s="13">
        <f t="shared" si="0"/>
        <v>2005</v>
      </c>
      <c r="T4" s="13">
        <f t="shared" si="0"/>
        <v>2004</v>
      </c>
      <c r="U4" s="13">
        <f t="shared" si="0"/>
        <v>2003</v>
      </c>
      <c r="V4" s="13">
        <f t="shared" si="0"/>
        <v>2002</v>
      </c>
      <c r="W4" s="13">
        <f t="shared" si="0"/>
        <v>2001</v>
      </c>
      <c r="X4" s="13">
        <f t="shared" si="0"/>
        <v>2000</v>
      </c>
      <c r="Y4" s="13">
        <f>'Rev and Major Expenditures'!Z4</f>
        <v>1999</v>
      </c>
      <c r="Z4" s="18">
        <v>2014</v>
      </c>
      <c r="AA4" s="18">
        <v>2014</v>
      </c>
      <c r="AB4" s="18">
        <v>2014</v>
      </c>
      <c r="AC4" s="18">
        <v>2015</v>
      </c>
      <c r="AD4" s="18">
        <v>2015</v>
      </c>
      <c r="AE4" s="18">
        <v>2015</v>
      </c>
    </row>
    <row r="5" spans="1:31">
      <c r="A5" s="82" t="s">
        <v>377</v>
      </c>
      <c r="B5" s="82" t="s">
        <v>487</v>
      </c>
      <c r="C5" s="82" t="s">
        <v>623</v>
      </c>
      <c r="D5" s="85" t="s">
        <v>622</v>
      </c>
      <c r="E5" s="82" t="s">
        <v>329</v>
      </c>
      <c r="F5" s="85" t="s">
        <v>621</v>
      </c>
      <c r="G5" s="82" t="s">
        <v>29</v>
      </c>
      <c r="H5" s="82" t="s">
        <v>376</v>
      </c>
      <c r="I5" t="s">
        <v>1</v>
      </c>
      <c r="J5" t="s">
        <v>29</v>
      </c>
      <c r="K5" t="s">
        <v>1</v>
      </c>
      <c r="L5" t="s">
        <v>1</v>
      </c>
      <c r="M5" t="s">
        <v>1</v>
      </c>
      <c r="N5" t="s">
        <v>1</v>
      </c>
      <c r="O5" t="s">
        <v>1</v>
      </c>
      <c r="P5" t="s">
        <v>1</v>
      </c>
      <c r="Q5" t="s">
        <v>1</v>
      </c>
      <c r="R5" t="s">
        <v>1</v>
      </c>
      <c r="S5" t="s">
        <v>1</v>
      </c>
      <c r="T5" t="s">
        <v>1</v>
      </c>
      <c r="U5" t="s">
        <v>1</v>
      </c>
      <c r="V5" t="s">
        <v>1</v>
      </c>
      <c r="W5" t="s">
        <v>1</v>
      </c>
      <c r="X5" t="s">
        <v>1</v>
      </c>
      <c r="Y5" t="s">
        <v>1</v>
      </c>
      <c r="Z5" s="19" t="s">
        <v>329</v>
      </c>
      <c r="AA5" s="19" t="s">
        <v>376</v>
      </c>
      <c r="AB5" s="19" t="s">
        <v>29</v>
      </c>
      <c r="AC5" s="19" t="s">
        <v>329</v>
      </c>
      <c r="AD5" s="19" t="s">
        <v>376</v>
      </c>
      <c r="AE5" s="19" t="s">
        <v>29</v>
      </c>
    </row>
    <row r="6" spans="1:31">
      <c r="A6" s="86" t="s">
        <v>378</v>
      </c>
      <c r="B6" s="86"/>
      <c r="C6" s="86"/>
      <c r="D6" s="87"/>
      <c r="E6" s="82"/>
      <c r="F6" s="87"/>
      <c r="G6" s="82"/>
      <c r="H6" s="8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</row>
    <row r="7" spans="1:31">
      <c r="A7" s="82" t="s">
        <v>379</v>
      </c>
      <c r="B7" s="82" t="str">
        <f>"0"&amp;LEFT(A7,FIND(" ",A7)-1)</f>
        <v>001</v>
      </c>
      <c r="C7" s="88">
        <v>5848161</v>
      </c>
      <c r="D7" s="88">
        <v>5588122</v>
      </c>
      <c r="E7" s="88">
        <v>5473516</v>
      </c>
      <c r="F7" s="88">
        <v>4701988</v>
      </c>
      <c r="G7" s="88">
        <v>5277907</v>
      </c>
      <c r="H7" s="88">
        <v>5276204</v>
      </c>
      <c r="I7" s="3">
        <v>4662121</v>
      </c>
      <c r="J7" s="3">
        <v>5226639</v>
      </c>
      <c r="K7" s="3">
        <v>4554679</v>
      </c>
      <c r="L7" s="3">
        <v>4443162</v>
      </c>
      <c r="M7" s="3">
        <v>4532657</v>
      </c>
      <c r="N7" s="3">
        <v>4474636</v>
      </c>
      <c r="O7" s="3">
        <v>4513312</v>
      </c>
      <c r="P7" s="3">
        <v>4463837</v>
      </c>
      <c r="Q7" s="3">
        <v>4268219</v>
      </c>
      <c r="R7" s="3">
        <v>4025655</v>
      </c>
      <c r="S7" s="3">
        <v>3825377</v>
      </c>
      <c r="T7" s="3">
        <v>3735546</v>
      </c>
      <c r="U7" s="3">
        <v>3776650</v>
      </c>
      <c r="V7" s="3">
        <v>3678682</v>
      </c>
      <c r="W7" s="3">
        <v>3403074</v>
      </c>
      <c r="X7" s="3">
        <v>3251332</v>
      </c>
      <c r="Y7" s="3">
        <v>3342226</v>
      </c>
      <c r="Z7" s="3">
        <v>5171389</v>
      </c>
      <c r="AA7" s="3">
        <v>5171389</v>
      </c>
      <c r="AB7" s="3">
        <v>5226639</v>
      </c>
      <c r="AC7" s="3">
        <v>5228716</v>
      </c>
      <c r="AD7" s="3">
        <v>5276204</v>
      </c>
      <c r="AE7" s="3"/>
    </row>
    <row r="8" spans="1:31">
      <c r="A8" s="82" t="s">
        <v>380</v>
      </c>
      <c r="B8" s="82" t="str">
        <f t="shared" ref="B8:B77" si="1">"0"&amp;LEFT(A8,FIND(" ",A8)-1)</f>
        <v>002</v>
      </c>
      <c r="C8" s="88">
        <v>6718712</v>
      </c>
      <c r="D8" s="88">
        <v>6548294</v>
      </c>
      <c r="E8" s="88">
        <v>6532812</v>
      </c>
      <c r="F8" s="88">
        <v>5868895</v>
      </c>
      <c r="G8" s="88">
        <v>6706981</v>
      </c>
      <c r="H8" s="88">
        <v>6679037</v>
      </c>
      <c r="I8" s="3">
        <v>5880094</v>
      </c>
      <c r="J8" s="3">
        <v>6605108</v>
      </c>
      <c r="K8" s="3">
        <v>5729428</v>
      </c>
      <c r="L8" s="3">
        <v>5468025</v>
      </c>
      <c r="M8" s="3">
        <v>5565950</v>
      </c>
      <c r="N8" s="3">
        <v>5795101</v>
      </c>
      <c r="O8" s="3">
        <v>6658003</v>
      </c>
      <c r="P8" s="3">
        <v>7889210</v>
      </c>
      <c r="Q8" s="3">
        <v>7037362</v>
      </c>
      <c r="R8" s="3">
        <v>7261738</v>
      </c>
      <c r="S8" s="3">
        <v>6835899</v>
      </c>
      <c r="T8" s="3">
        <v>6438435</v>
      </c>
      <c r="U8" s="3">
        <v>6117276</v>
      </c>
      <c r="V8" s="3">
        <v>6074683</v>
      </c>
      <c r="W8" s="3">
        <v>5357292</v>
      </c>
      <c r="X8" s="3">
        <v>4547772</v>
      </c>
      <c r="Y8" s="3">
        <v>3828981</v>
      </c>
      <c r="Z8" s="3">
        <v>6420926</v>
      </c>
      <c r="AA8" s="3">
        <v>6420926</v>
      </c>
      <c r="AB8" s="3">
        <v>6605108</v>
      </c>
      <c r="AC8" s="3">
        <v>6618317</v>
      </c>
      <c r="AD8" s="3">
        <v>6679037</v>
      </c>
      <c r="AE8" s="3"/>
    </row>
    <row r="9" spans="1:31">
      <c r="A9" s="82" t="s">
        <v>410</v>
      </c>
      <c r="B9" s="82" t="str">
        <f t="shared" si="1"/>
        <v>004</v>
      </c>
      <c r="C9" s="88">
        <v>0</v>
      </c>
      <c r="D9" s="88">
        <v>956395</v>
      </c>
      <c r="E9" s="88">
        <v>954489</v>
      </c>
      <c r="F9" s="88">
        <v>834766</v>
      </c>
      <c r="G9" s="88">
        <v>972263</v>
      </c>
      <c r="H9" s="88">
        <v>972263</v>
      </c>
      <c r="I9" s="3">
        <v>875121</v>
      </c>
      <c r="J9" s="3">
        <v>984943</v>
      </c>
      <c r="K9" s="3">
        <v>1051877</v>
      </c>
      <c r="L9" s="3">
        <v>1019913</v>
      </c>
      <c r="M9" s="3">
        <v>860102</v>
      </c>
      <c r="N9" s="3">
        <v>1160620</v>
      </c>
      <c r="O9" s="3">
        <v>1376403</v>
      </c>
      <c r="P9" s="3">
        <v>1315307</v>
      </c>
      <c r="Q9" s="3">
        <v>1284040</v>
      </c>
      <c r="R9" s="3">
        <v>1227163</v>
      </c>
      <c r="S9" s="3">
        <v>1090473</v>
      </c>
      <c r="T9" s="3">
        <v>1696467</v>
      </c>
      <c r="U9" s="3">
        <v>1633309</v>
      </c>
      <c r="V9" s="3">
        <v>1651293</v>
      </c>
      <c r="W9" s="3">
        <v>1370109</v>
      </c>
      <c r="X9" s="3">
        <v>1567068</v>
      </c>
      <c r="Y9" s="3">
        <v>1292315</v>
      </c>
      <c r="Z9" s="3">
        <v>955853</v>
      </c>
      <c r="AA9" s="3">
        <v>955853</v>
      </c>
      <c r="AB9" s="3">
        <v>984943</v>
      </c>
      <c r="AC9" s="3">
        <v>961598</v>
      </c>
      <c r="AD9" s="3">
        <v>972263</v>
      </c>
      <c r="AE9" s="3"/>
    </row>
    <row r="10" spans="1:31">
      <c r="A10" s="82" t="s">
        <v>381</v>
      </c>
      <c r="B10" s="82" t="str">
        <f t="shared" si="1"/>
        <v>006</v>
      </c>
      <c r="C10" s="88">
        <v>8476753</v>
      </c>
      <c r="D10" s="88">
        <v>8268986</v>
      </c>
      <c r="E10" s="88">
        <v>8258782</v>
      </c>
      <c r="F10" s="88">
        <v>7407181</v>
      </c>
      <c r="G10" s="88">
        <v>8931726</v>
      </c>
      <c r="H10" s="88">
        <v>8378627</v>
      </c>
      <c r="I10" s="3">
        <v>7640312</v>
      </c>
      <c r="J10" s="3">
        <v>9054977</v>
      </c>
      <c r="K10" s="3">
        <v>9199738</v>
      </c>
      <c r="L10" s="3">
        <v>9034536</v>
      </c>
      <c r="M10" s="3">
        <v>8729136</v>
      </c>
      <c r="N10" s="3">
        <v>8498101</v>
      </c>
      <c r="O10" s="3">
        <v>8784567</v>
      </c>
      <c r="P10" s="3">
        <v>9127435</v>
      </c>
      <c r="Q10" s="3">
        <v>8403354</v>
      </c>
      <c r="R10" s="3">
        <v>8086426</v>
      </c>
      <c r="S10" s="3">
        <v>7678263</v>
      </c>
      <c r="T10" s="3">
        <v>7154185</v>
      </c>
      <c r="U10" s="3">
        <v>6943837</v>
      </c>
      <c r="V10" s="3">
        <v>6372120</v>
      </c>
      <c r="W10" s="3">
        <v>6019870</v>
      </c>
      <c r="X10" s="3">
        <v>4720715</v>
      </c>
      <c r="Y10" s="3">
        <v>3912176</v>
      </c>
      <c r="Z10" s="3">
        <v>8387352</v>
      </c>
      <c r="AA10" s="3">
        <v>8387352</v>
      </c>
      <c r="AB10" s="3">
        <v>9054977</v>
      </c>
      <c r="AC10" s="3">
        <v>8344793</v>
      </c>
      <c r="AD10" s="3">
        <v>8378627</v>
      </c>
      <c r="AE10" s="3"/>
    </row>
    <row r="11" spans="1:31">
      <c r="A11" s="82" t="s">
        <v>382</v>
      </c>
      <c r="B11" s="82" t="str">
        <f t="shared" si="1"/>
        <v>011</v>
      </c>
      <c r="C11" s="88">
        <v>7476553</v>
      </c>
      <c r="D11" s="88">
        <v>7306424</v>
      </c>
      <c r="E11" s="88">
        <v>7290822</v>
      </c>
      <c r="F11" s="88">
        <v>7215555</v>
      </c>
      <c r="G11" s="88">
        <v>7440572</v>
      </c>
      <c r="H11" s="88">
        <v>7324354</v>
      </c>
      <c r="I11" s="3">
        <v>6827764</v>
      </c>
      <c r="J11" s="3">
        <v>7568287</v>
      </c>
      <c r="K11" s="3">
        <v>7560035</v>
      </c>
      <c r="L11" s="3">
        <v>7683980</v>
      </c>
      <c r="M11" s="3">
        <v>7170466</v>
      </c>
      <c r="N11" s="3">
        <v>6439081</v>
      </c>
      <c r="O11" s="3">
        <v>6581509</v>
      </c>
      <c r="P11" s="3">
        <v>6977627</v>
      </c>
      <c r="Q11" s="3">
        <v>6613117</v>
      </c>
      <c r="R11" s="3">
        <v>6508359</v>
      </c>
      <c r="S11" s="3">
        <v>5984291</v>
      </c>
      <c r="T11" s="3">
        <v>5857129</v>
      </c>
      <c r="U11" s="3">
        <v>5682160</v>
      </c>
      <c r="V11" s="3">
        <v>5747103</v>
      </c>
      <c r="W11" s="3">
        <v>5705014</v>
      </c>
      <c r="X11" s="3">
        <v>5607710</v>
      </c>
      <c r="Y11" s="3">
        <v>5142313</v>
      </c>
      <c r="Z11" s="3">
        <v>7190025</v>
      </c>
      <c r="AA11" s="3">
        <v>7190025</v>
      </c>
      <c r="AB11" s="3">
        <v>7568287</v>
      </c>
      <c r="AC11" s="3">
        <v>7272195</v>
      </c>
      <c r="AD11" s="3">
        <v>7324354</v>
      </c>
      <c r="AE11" s="3"/>
    </row>
    <row r="12" spans="1:31">
      <c r="A12" s="82" t="s">
        <v>411</v>
      </c>
      <c r="B12" s="82" t="str">
        <f t="shared" si="1"/>
        <v>012</v>
      </c>
      <c r="C12" s="88">
        <v>4739981</v>
      </c>
      <c r="D12" s="88">
        <v>4643774</v>
      </c>
      <c r="E12" s="88">
        <v>4635234</v>
      </c>
      <c r="F12" s="88">
        <v>4354735</v>
      </c>
      <c r="G12" s="88">
        <v>4700159</v>
      </c>
      <c r="H12" s="88">
        <v>4619780</v>
      </c>
      <c r="I12" s="3">
        <v>4442882</v>
      </c>
      <c r="J12" s="3">
        <v>4688925</v>
      </c>
      <c r="K12" s="3">
        <v>4801328</v>
      </c>
      <c r="L12" s="3">
        <v>4977296</v>
      </c>
      <c r="M12" s="3">
        <v>4792124</v>
      </c>
      <c r="N12" s="3">
        <v>4996947</v>
      </c>
      <c r="O12" s="3">
        <v>5238637</v>
      </c>
      <c r="P12" s="3">
        <v>5105963</v>
      </c>
      <c r="Q12" s="3">
        <v>4952828</v>
      </c>
      <c r="R12" s="3">
        <v>4500836</v>
      </c>
      <c r="S12" s="3">
        <v>4006634</v>
      </c>
      <c r="T12" s="3">
        <v>3948909</v>
      </c>
      <c r="U12" s="3">
        <v>3919739</v>
      </c>
      <c r="V12" s="3">
        <v>3597518</v>
      </c>
      <c r="W12" s="3">
        <v>3442797</v>
      </c>
      <c r="X12" s="3">
        <v>3033771</v>
      </c>
      <c r="Y12" s="3">
        <v>2874146</v>
      </c>
      <c r="Z12" s="3">
        <v>4411712</v>
      </c>
      <c r="AA12" s="3">
        <v>4411712</v>
      </c>
      <c r="AB12" s="3">
        <v>4688925</v>
      </c>
      <c r="AC12" s="3">
        <v>4662202</v>
      </c>
      <c r="AD12" s="3">
        <v>4619780</v>
      </c>
      <c r="AE12" s="3"/>
    </row>
    <row r="13" spans="1:31">
      <c r="A13" s="82" t="s">
        <v>383</v>
      </c>
      <c r="B13" s="82" t="str">
        <f t="shared" si="1"/>
        <v>013</v>
      </c>
      <c r="C13" s="88">
        <v>1271906</v>
      </c>
      <c r="D13" s="88">
        <v>1226162</v>
      </c>
      <c r="E13" s="88">
        <v>1222514</v>
      </c>
      <c r="F13" s="88">
        <v>1146688</v>
      </c>
      <c r="G13" s="88">
        <v>1352337</v>
      </c>
      <c r="H13" s="88">
        <v>1292658</v>
      </c>
      <c r="I13" s="3">
        <v>1230260</v>
      </c>
      <c r="J13" s="3">
        <v>1329398</v>
      </c>
      <c r="K13" s="3">
        <v>1164637</v>
      </c>
      <c r="L13" s="3">
        <v>1184482</v>
      </c>
      <c r="M13" s="3">
        <v>1206973</v>
      </c>
      <c r="N13" s="3">
        <v>1253812</v>
      </c>
      <c r="O13" s="3">
        <v>1478132</v>
      </c>
      <c r="P13" s="3">
        <v>1635878</v>
      </c>
      <c r="Q13" s="3">
        <v>1323891</v>
      </c>
      <c r="R13" s="3">
        <v>1208726</v>
      </c>
      <c r="S13" s="3">
        <v>1176580</v>
      </c>
      <c r="T13" s="3">
        <v>1049752</v>
      </c>
      <c r="U13" s="3">
        <v>971088</v>
      </c>
      <c r="V13" s="3">
        <v>794299</v>
      </c>
      <c r="W13" s="3">
        <v>666734</v>
      </c>
      <c r="X13" s="3">
        <v>564697</v>
      </c>
      <c r="Y13" s="3">
        <v>635394</v>
      </c>
      <c r="Z13" s="3">
        <v>1261248</v>
      </c>
      <c r="AA13" s="3">
        <v>1261248</v>
      </c>
      <c r="AB13" s="3">
        <v>1329398</v>
      </c>
      <c r="AC13" s="3">
        <v>1277942</v>
      </c>
      <c r="AD13" s="3">
        <v>1292658</v>
      </c>
      <c r="AE13" s="3"/>
    </row>
    <row r="14" spans="1:31">
      <c r="A14" s="82" t="s">
        <v>384</v>
      </c>
      <c r="B14" s="82" t="str">
        <f t="shared" si="1"/>
        <v>015</v>
      </c>
      <c r="C14" s="88">
        <v>5098565</v>
      </c>
      <c r="D14" s="88">
        <v>4032359</v>
      </c>
      <c r="E14" s="88">
        <v>4024528</v>
      </c>
      <c r="F14" s="88">
        <v>3493964</v>
      </c>
      <c r="G14" s="88">
        <v>4102939</v>
      </c>
      <c r="H14" s="88">
        <v>3966101</v>
      </c>
      <c r="I14" s="3">
        <v>3537776</v>
      </c>
      <c r="J14" s="3">
        <v>3734406</v>
      </c>
      <c r="K14" s="3">
        <v>3558962</v>
      </c>
      <c r="L14" s="3">
        <v>3746354</v>
      </c>
      <c r="M14" s="3">
        <v>2499191</v>
      </c>
      <c r="N14" s="3">
        <v>2403372</v>
      </c>
      <c r="O14" s="3">
        <v>4357047</v>
      </c>
      <c r="P14" s="3">
        <v>3036594</v>
      </c>
      <c r="Q14" s="3">
        <v>2843533</v>
      </c>
      <c r="R14" s="3">
        <v>2836614</v>
      </c>
      <c r="S14" s="3">
        <v>3812713</v>
      </c>
      <c r="T14" s="3">
        <v>3805308</v>
      </c>
      <c r="U14" s="3">
        <v>1908622</v>
      </c>
      <c r="V14" s="3">
        <v>2094180</v>
      </c>
      <c r="W14" s="3">
        <v>2161594</v>
      </c>
      <c r="X14" s="3">
        <v>1734029</v>
      </c>
      <c r="Y14" s="3">
        <v>1528742</v>
      </c>
      <c r="Z14" s="3">
        <v>3695935</v>
      </c>
      <c r="AA14" s="3">
        <v>3695935</v>
      </c>
      <c r="AB14" s="3">
        <v>3734406</v>
      </c>
      <c r="AC14" s="3">
        <v>3953177</v>
      </c>
      <c r="AD14" s="3">
        <v>3966101</v>
      </c>
      <c r="AE14" s="3"/>
    </row>
    <row r="15" spans="1:31">
      <c r="A15" s="82" t="s">
        <v>385</v>
      </c>
      <c r="B15" s="82" t="str">
        <f t="shared" si="1"/>
        <v>017</v>
      </c>
      <c r="C15" s="88">
        <v>7212543</v>
      </c>
      <c r="D15" s="88">
        <v>6714266</v>
      </c>
      <c r="E15" s="88">
        <v>6697201</v>
      </c>
      <c r="F15" s="88">
        <v>6538964</v>
      </c>
      <c r="G15" s="88">
        <v>7830592</v>
      </c>
      <c r="H15" s="88">
        <v>6504728</v>
      </c>
      <c r="I15" s="3">
        <v>6312069</v>
      </c>
      <c r="J15" s="3">
        <v>7648129</v>
      </c>
      <c r="K15" s="3">
        <v>6775253</v>
      </c>
      <c r="L15" s="3">
        <v>6167941</v>
      </c>
      <c r="M15" s="3">
        <v>5830105</v>
      </c>
      <c r="N15" s="3">
        <v>5939736</v>
      </c>
      <c r="O15" s="3">
        <v>6405436</v>
      </c>
      <c r="P15" s="3">
        <v>6247616</v>
      </c>
      <c r="Q15" s="3">
        <v>5857041</v>
      </c>
      <c r="R15" s="3">
        <v>5654441</v>
      </c>
      <c r="S15" s="3">
        <v>5270069</v>
      </c>
      <c r="T15" s="3">
        <v>5501146</v>
      </c>
      <c r="U15" s="3">
        <v>5277224</v>
      </c>
      <c r="V15" s="3">
        <v>5055844</v>
      </c>
      <c r="W15" s="3">
        <v>5077620</v>
      </c>
      <c r="X15" s="3">
        <v>4560284</v>
      </c>
      <c r="Y15" s="3">
        <v>4318696</v>
      </c>
      <c r="Z15" s="3">
        <v>6357795</v>
      </c>
      <c r="AA15" s="3">
        <v>6357795</v>
      </c>
      <c r="AB15" s="3">
        <v>7648129</v>
      </c>
      <c r="AC15" s="3">
        <v>6440565</v>
      </c>
      <c r="AD15" s="3">
        <v>6504728</v>
      </c>
      <c r="AE15" s="3"/>
    </row>
    <row r="16" spans="1:31">
      <c r="A16" s="82" t="s">
        <v>386</v>
      </c>
      <c r="B16" s="82" t="str">
        <f t="shared" si="1"/>
        <v>020</v>
      </c>
      <c r="C16" s="88">
        <v>4528121</v>
      </c>
      <c r="D16" s="88">
        <v>4539311</v>
      </c>
      <c r="E16" s="88">
        <v>4527987</v>
      </c>
      <c r="F16" s="88">
        <v>4424741</v>
      </c>
      <c r="G16" s="88">
        <v>4617570</v>
      </c>
      <c r="H16" s="88">
        <v>4555631</v>
      </c>
      <c r="I16" s="3">
        <v>4285555</v>
      </c>
      <c r="J16" s="3">
        <v>4508991</v>
      </c>
      <c r="K16" s="3">
        <v>2651424</v>
      </c>
      <c r="L16" s="3">
        <v>2736128</v>
      </c>
      <c r="M16" s="3">
        <v>2757249</v>
      </c>
      <c r="N16" s="3">
        <v>2795595</v>
      </c>
      <c r="O16" s="3">
        <v>2973078</v>
      </c>
      <c r="P16" s="3">
        <v>3049651</v>
      </c>
      <c r="Q16" s="3">
        <v>2885223</v>
      </c>
      <c r="R16" s="3">
        <v>2767381</v>
      </c>
      <c r="S16" s="3">
        <v>2597805</v>
      </c>
      <c r="T16" s="3">
        <v>2666100</v>
      </c>
      <c r="U16" s="3">
        <v>2547238</v>
      </c>
      <c r="V16" s="3">
        <v>2584641</v>
      </c>
      <c r="W16" s="3">
        <v>2542330</v>
      </c>
      <c r="X16" s="3">
        <v>2429779</v>
      </c>
      <c r="Y16" s="3">
        <v>2508633</v>
      </c>
      <c r="Z16" s="3">
        <v>4458126</v>
      </c>
      <c r="AA16" s="3">
        <v>4458126</v>
      </c>
      <c r="AB16" s="3">
        <v>4508991</v>
      </c>
      <c r="AC16" s="3">
        <v>4513052</v>
      </c>
      <c r="AD16" s="3">
        <v>4555631</v>
      </c>
      <c r="AE16" s="3"/>
    </row>
    <row r="17" spans="1:31">
      <c r="A17" s="82" t="s">
        <v>387</v>
      </c>
      <c r="B17" s="82" t="str">
        <f t="shared" si="1"/>
        <v>037</v>
      </c>
      <c r="C17" s="88">
        <v>378512</v>
      </c>
      <c r="D17" s="88">
        <v>367963</v>
      </c>
      <c r="E17" s="88">
        <v>367116</v>
      </c>
      <c r="F17" s="88">
        <v>230864</v>
      </c>
      <c r="G17" s="88">
        <v>357874</v>
      </c>
      <c r="H17" s="88">
        <v>357874</v>
      </c>
      <c r="I17" s="3">
        <v>238267</v>
      </c>
      <c r="J17" s="3">
        <v>354020</v>
      </c>
      <c r="K17" s="3">
        <v>284278</v>
      </c>
      <c r="L17" s="3">
        <v>318439</v>
      </c>
      <c r="M17" s="3">
        <v>279390</v>
      </c>
      <c r="N17" s="3">
        <v>145001</v>
      </c>
      <c r="O17" s="3">
        <v>226973</v>
      </c>
      <c r="P17" s="3">
        <v>217476</v>
      </c>
      <c r="Q17" s="3">
        <v>214543</v>
      </c>
      <c r="R17" s="3">
        <v>195101</v>
      </c>
      <c r="S17" s="3">
        <v>165092</v>
      </c>
      <c r="T17" s="3">
        <v>176592</v>
      </c>
      <c r="U17" s="3">
        <v>172237</v>
      </c>
      <c r="V17" s="3">
        <v>167242</v>
      </c>
      <c r="W17" s="3">
        <v>160771</v>
      </c>
      <c r="X17" s="3">
        <v>154074</v>
      </c>
      <c r="Y17" s="3">
        <v>152458</v>
      </c>
      <c r="Z17" s="3">
        <v>350582</v>
      </c>
      <c r="AA17" s="3">
        <v>350582</v>
      </c>
      <c r="AB17" s="3">
        <v>354020</v>
      </c>
      <c r="AC17" s="3">
        <v>355690</v>
      </c>
      <c r="AD17" s="3">
        <v>357874</v>
      </c>
      <c r="AE17" s="3"/>
    </row>
    <row r="18" spans="1:31">
      <c r="A18" s="82" t="s">
        <v>388</v>
      </c>
      <c r="B18" s="82" t="str">
        <f t="shared" si="1"/>
        <v>041</v>
      </c>
      <c r="C18" s="88">
        <v>439953</v>
      </c>
      <c r="D18" s="88">
        <v>429088</v>
      </c>
      <c r="E18" s="88">
        <v>428179</v>
      </c>
      <c r="F18" s="88">
        <v>370213</v>
      </c>
      <c r="G18" s="88">
        <v>415978</v>
      </c>
      <c r="H18" s="88">
        <v>415978</v>
      </c>
      <c r="I18" s="3">
        <v>389818</v>
      </c>
      <c r="J18" s="3">
        <v>410849</v>
      </c>
      <c r="K18" s="3">
        <v>373517</v>
      </c>
      <c r="L18" s="3">
        <v>344845</v>
      </c>
      <c r="M18" s="3">
        <v>343638</v>
      </c>
      <c r="N18" s="3">
        <v>361061</v>
      </c>
      <c r="O18" s="3">
        <v>374498</v>
      </c>
      <c r="P18" s="3">
        <v>303798</v>
      </c>
      <c r="Q18" s="3">
        <v>224821</v>
      </c>
      <c r="R18" s="3">
        <v>223057</v>
      </c>
      <c r="S18" s="3">
        <v>167163</v>
      </c>
      <c r="T18" s="3">
        <v>190656</v>
      </c>
      <c r="U18" s="3">
        <v>208073</v>
      </c>
      <c r="V18" s="3">
        <v>170752</v>
      </c>
      <c r="W18" s="3">
        <v>173152</v>
      </c>
      <c r="X18" s="3">
        <v>161825</v>
      </c>
      <c r="Y18" s="3">
        <v>157085</v>
      </c>
      <c r="Z18" s="3">
        <v>408154</v>
      </c>
      <c r="AA18" s="3">
        <v>408154</v>
      </c>
      <c r="AB18" s="3">
        <v>410849</v>
      </c>
      <c r="AC18" s="3">
        <v>412561</v>
      </c>
      <c r="AD18" s="3">
        <v>415978</v>
      </c>
      <c r="AE18" s="3"/>
    </row>
    <row r="19" spans="1:31">
      <c r="A19" s="82" t="s">
        <v>389</v>
      </c>
      <c r="B19" s="82" t="str">
        <f t="shared" si="1"/>
        <v>057</v>
      </c>
      <c r="C19" s="88">
        <v>24209865</v>
      </c>
      <c r="D19" s="88">
        <v>23619724</v>
      </c>
      <c r="E19" s="88">
        <v>23574667</v>
      </c>
      <c r="F19" s="88">
        <v>23087505</v>
      </c>
      <c r="G19" s="88">
        <v>23416640</v>
      </c>
      <c r="H19" s="88">
        <v>23032017</v>
      </c>
      <c r="I19" s="3">
        <v>22816026</v>
      </c>
      <c r="J19" s="3">
        <v>23345271</v>
      </c>
      <c r="K19" s="3">
        <v>21423473</v>
      </c>
      <c r="L19" s="3">
        <v>22013511</v>
      </c>
      <c r="M19" s="3">
        <v>21570147</v>
      </c>
      <c r="N19" s="3">
        <v>21848539</v>
      </c>
      <c r="O19" s="3">
        <v>24272113</v>
      </c>
      <c r="P19" s="3">
        <v>24231757</v>
      </c>
      <c r="Q19" s="3">
        <v>23090695</v>
      </c>
      <c r="R19" s="3">
        <v>21858560</v>
      </c>
      <c r="S19" s="3">
        <v>20959423</v>
      </c>
      <c r="T19" s="3">
        <v>19262364</v>
      </c>
      <c r="U19" s="3">
        <v>19497030</v>
      </c>
      <c r="V19" s="3">
        <v>18969254</v>
      </c>
      <c r="W19" s="3">
        <v>18712258</v>
      </c>
      <c r="X19" s="3">
        <v>17053541</v>
      </c>
      <c r="Y19" s="3">
        <v>16851883</v>
      </c>
      <c r="Z19" s="3">
        <v>22644049</v>
      </c>
      <c r="AA19" s="3">
        <v>22644049</v>
      </c>
      <c r="AB19" s="3">
        <v>23345271</v>
      </c>
      <c r="AC19" s="3">
        <v>22815098</v>
      </c>
      <c r="AD19" s="3">
        <v>23032017</v>
      </c>
      <c r="AE19" s="3"/>
    </row>
    <row r="20" spans="1:31">
      <c r="A20" s="82" t="s">
        <v>390</v>
      </c>
      <c r="B20" s="82" t="str">
        <f t="shared" si="1"/>
        <v>070</v>
      </c>
      <c r="C20" s="88">
        <v>32622609</v>
      </c>
      <c r="D20" s="88">
        <v>31288662</v>
      </c>
      <c r="E20" s="88">
        <v>31209411</v>
      </c>
      <c r="F20" s="88">
        <v>33198737</v>
      </c>
      <c r="G20" s="88">
        <v>34993845</v>
      </c>
      <c r="H20" s="88">
        <v>31484233</v>
      </c>
      <c r="I20" s="3">
        <v>30710117</v>
      </c>
      <c r="J20" s="3">
        <v>34291181</v>
      </c>
      <c r="K20" s="3">
        <v>28845475</v>
      </c>
      <c r="L20" s="3">
        <v>29845209</v>
      </c>
      <c r="M20" s="3">
        <v>26776324</v>
      </c>
      <c r="N20" s="3">
        <v>25882692</v>
      </c>
      <c r="O20" s="3">
        <v>28663585</v>
      </c>
      <c r="P20" s="3">
        <v>27897778</v>
      </c>
      <c r="Q20" s="3">
        <v>25209270</v>
      </c>
      <c r="R20" s="3">
        <v>24174830</v>
      </c>
      <c r="S20" s="3">
        <v>24057630</v>
      </c>
      <c r="T20" s="3">
        <v>22795366</v>
      </c>
      <c r="U20" s="3">
        <v>20817553</v>
      </c>
      <c r="V20" s="3">
        <v>19803801</v>
      </c>
      <c r="W20" s="3">
        <v>16730132</v>
      </c>
      <c r="X20" s="3">
        <v>14322892</v>
      </c>
      <c r="Y20" s="3">
        <v>12318171</v>
      </c>
      <c r="Z20" s="3">
        <v>30156498</v>
      </c>
      <c r="AA20" s="3">
        <v>30156498</v>
      </c>
      <c r="AB20" s="3">
        <v>34291181</v>
      </c>
      <c r="AC20" s="3">
        <v>31272777</v>
      </c>
      <c r="AD20" s="3">
        <v>31484233</v>
      </c>
      <c r="AE20" s="3"/>
    </row>
    <row r="21" spans="1:31">
      <c r="A21" s="82" t="s">
        <v>473</v>
      </c>
      <c r="B21" s="82" t="str">
        <f t="shared" si="1"/>
        <v>088</v>
      </c>
      <c r="C21" s="82"/>
      <c r="D21" s="78"/>
      <c r="E21" s="82"/>
      <c r="F21" s="78"/>
      <c r="G21" s="82"/>
      <c r="H21" s="82"/>
      <c r="J21" s="3">
        <v>0</v>
      </c>
      <c r="K21" s="3">
        <v>0</v>
      </c>
      <c r="L21" s="3">
        <v>0</v>
      </c>
      <c r="M21" s="3">
        <v>0</v>
      </c>
      <c r="N21" s="3">
        <v>0</v>
      </c>
      <c r="O21" s="3">
        <v>0</v>
      </c>
      <c r="P21" s="3">
        <v>0</v>
      </c>
      <c r="Q21" s="3">
        <v>0</v>
      </c>
      <c r="R21" s="3">
        <v>0</v>
      </c>
      <c r="S21" s="3">
        <v>0</v>
      </c>
      <c r="T21" s="3">
        <v>0</v>
      </c>
      <c r="U21" s="3">
        <v>0</v>
      </c>
      <c r="V21" s="3">
        <v>0</v>
      </c>
      <c r="W21" s="3">
        <v>0</v>
      </c>
      <c r="X21" s="3">
        <v>1481687</v>
      </c>
      <c r="Y21" s="3">
        <v>1395056</v>
      </c>
      <c r="Z21" s="3"/>
      <c r="AA21" s="3"/>
      <c r="AB21" s="3"/>
      <c r="AC21" s="3"/>
      <c r="AD21" s="3"/>
      <c r="AE21" s="3"/>
    </row>
    <row r="22" spans="1:31">
      <c r="A22" s="86" t="s">
        <v>412</v>
      </c>
      <c r="B22" s="82"/>
      <c r="C22" s="88">
        <f t="shared" ref="C22:I22" si="2">SUBTOTAL(9,C7:C20)</f>
        <v>109022234</v>
      </c>
      <c r="D22" s="88">
        <f t="shared" si="2"/>
        <v>105529530</v>
      </c>
      <c r="E22" s="88">
        <f t="shared" si="2"/>
        <v>105197258</v>
      </c>
      <c r="F22" s="88">
        <f>SUBTOTAL(9,F7:F20)</f>
        <v>102874796</v>
      </c>
      <c r="G22" s="88">
        <f t="shared" si="2"/>
        <v>111117383</v>
      </c>
      <c r="H22" s="88">
        <f t="shared" si="2"/>
        <v>104859485</v>
      </c>
      <c r="I22" s="20">
        <f t="shared" si="2"/>
        <v>99848182</v>
      </c>
      <c r="J22" s="20">
        <f t="shared" ref="J22:V22" si="3">SUBTOTAL(9,J7:J20)</f>
        <v>109751124</v>
      </c>
      <c r="K22" s="20">
        <f t="shared" si="3"/>
        <v>97974104</v>
      </c>
      <c r="L22" s="20">
        <f t="shared" si="3"/>
        <v>98983821</v>
      </c>
      <c r="M22" s="20">
        <f t="shared" si="3"/>
        <v>92913452</v>
      </c>
      <c r="N22" s="20">
        <f t="shared" si="3"/>
        <v>91994294</v>
      </c>
      <c r="O22" s="20">
        <f t="shared" si="3"/>
        <v>101903293</v>
      </c>
      <c r="P22" s="20">
        <f t="shared" si="3"/>
        <v>101499927</v>
      </c>
      <c r="Q22" s="20">
        <f t="shared" si="3"/>
        <v>94207937</v>
      </c>
      <c r="R22" s="20">
        <f t="shared" si="3"/>
        <v>90528887</v>
      </c>
      <c r="S22" s="20">
        <f t="shared" si="3"/>
        <v>87627412</v>
      </c>
      <c r="T22" s="20">
        <f t="shared" si="3"/>
        <v>84277955</v>
      </c>
      <c r="U22" s="20">
        <f t="shared" si="3"/>
        <v>79472036</v>
      </c>
      <c r="V22" s="20">
        <f t="shared" si="3"/>
        <v>76761412</v>
      </c>
      <c r="W22" s="20">
        <f>SUBTOTAL(9,W7:W21)</f>
        <v>71522747</v>
      </c>
      <c r="X22" s="20">
        <f>SUBTOTAL(9,X7:X21)</f>
        <v>65191176</v>
      </c>
      <c r="Y22" s="20">
        <f>SUBTOTAL(9,Y7:Y21)</f>
        <v>60258275</v>
      </c>
      <c r="Z22" s="16">
        <f t="shared" ref="Z22:AD22" si="4">SUBTOTAL(9,Z7:Z20)</f>
        <v>101869644</v>
      </c>
      <c r="AA22" s="16">
        <f t="shared" si="4"/>
        <v>101869644</v>
      </c>
      <c r="AB22" s="16">
        <f t="shared" si="4"/>
        <v>109751124</v>
      </c>
      <c r="AC22" s="16">
        <f t="shared" si="4"/>
        <v>104128683</v>
      </c>
      <c r="AD22" s="16">
        <f t="shared" si="4"/>
        <v>104859485</v>
      </c>
    </row>
    <row r="23" spans="1:31">
      <c r="A23" s="86" t="s">
        <v>391</v>
      </c>
      <c r="B23" s="82"/>
      <c r="C23" s="82"/>
      <c r="D23" s="78"/>
      <c r="E23" s="82"/>
      <c r="F23" s="78"/>
      <c r="G23" s="82"/>
      <c r="H23" s="82"/>
      <c r="M23" s="4"/>
      <c r="N23" s="4"/>
      <c r="O23" s="4"/>
      <c r="P23" s="4"/>
      <c r="Q23" s="4"/>
      <c r="R23" s="4">
        <v>0</v>
      </c>
      <c r="S23" s="4"/>
      <c r="T23" s="4"/>
      <c r="U23" s="4"/>
    </row>
    <row r="24" spans="1:31">
      <c r="A24" s="82" t="s">
        <v>392</v>
      </c>
      <c r="B24" s="82" t="str">
        <f t="shared" si="1"/>
        <v>080</v>
      </c>
      <c r="C24" s="88">
        <v>11137339</v>
      </c>
      <c r="D24" s="88">
        <v>10837645</v>
      </c>
      <c r="E24" s="88">
        <v>10815166</v>
      </c>
      <c r="F24" s="88">
        <v>10570642</v>
      </c>
      <c r="G24" s="88">
        <v>10735872</v>
      </c>
      <c r="H24" s="88">
        <v>10655801</v>
      </c>
      <c r="I24" s="3">
        <v>10526463</v>
      </c>
      <c r="J24" s="3">
        <v>10638203</v>
      </c>
      <c r="K24" s="3">
        <v>10318566</v>
      </c>
      <c r="L24" s="3">
        <v>9984864</v>
      </c>
      <c r="M24" s="3">
        <v>10013163</v>
      </c>
      <c r="N24" s="3">
        <v>9855991</v>
      </c>
      <c r="O24" s="3">
        <v>10234230</v>
      </c>
      <c r="P24" s="3">
        <v>10259129</v>
      </c>
      <c r="Q24" s="3">
        <v>9850565</v>
      </c>
      <c r="R24" s="3">
        <v>9556911</v>
      </c>
      <c r="S24" s="3">
        <v>9073973</v>
      </c>
      <c r="T24" s="3">
        <v>8817706</v>
      </c>
      <c r="U24" s="3">
        <v>8423726</v>
      </c>
      <c r="V24" s="3">
        <v>8470475</v>
      </c>
      <c r="W24" s="3">
        <v>7874131</v>
      </c>
      <c r="X24" s="3">
        <v>7587785</v>
      </c>
      <c r="Y24" s="3">
        <v>6897671</v>
      </c>
      <c r="Z24" s="4">
        <v>10462252</v>
      </c>
      <c r="AA24" s="4">
        <v>10462252</v>
      </c>
      <c r="AB24" s="4">
        <v>10638203</v>
      </c>
      <c r="AC24" s="4">
        <v>10583284</v>
      </c>
      <c r="AD24" s="4">
        <v>10655801</v>
      </c>
    </row>
    <row r="25" spans="1:31">
      <c r="A25" s="82" t="s">
        <v>393</v>
      </c>
      <c r="B25" s="82" t="str">
        <f t="shared" si="1"/>
        <v>082</v>
      </c>
      <c r="C25" s="88">
        <v>3845240</v>
      </c>
      <c r="D25" s="88">
        <v>3718255</v>
      </c>
      <c r="E25" s="88">
        <v>3709395</v>
      </c>
      <c r="F25" s="88">
        <v>3376105</v>
      </c>
      <c r="G25" s="88">
        <v>3533979</v>
      </c>
      <c r="H25" s="88">
        <v>3529700</v>
      </c>
      <c r="I25" s="3">
        <v>2750206</v>
      </c>
      <c r="J25" s="3">
        <v>2729751</v>
      </c>
      <c r="K25" s="3">
        <v>2653086</v>
      </c>
      <c r="L25" s="3">
        <v>2547964</v>
      </c>
      <c r="M25" s="3">
        <v>2491478</v>
      </c>
      <c r="N25" s="3">
        <v>2535239</v>
      </c>
      <c r="O25" s="3">
        <v>2505994</v>
      </c>
      <c r="P25" s="3">
        <v>2289157</v>
      </c>
      <c r="Q25" s="3">
        <v>1977395</v>
      </c>
      <c r="R25" s="3">
        <v>1897173</v>
      </c>
      <c r="S25" s="3">
        <v>1847417</v>
      </c>
      <c r="T25" s="3">
        <v>1744573</v>
      </c>
      <c r="U25" s="3">
        <v>1685973</v>
      </c>
      <c r="V25" s="3">
        <v>1584458</v>
      </c>
      <c r="W25" s="3">
        <v>1541497</v>
      </c>
      <c r="X25" s="3">
        <v>1548233</v>
      </c>
      <c r="Y25" s="3">
        <v>1468563</v>
      </c>
      <c r="Z25" s="4">
        <v>2699151</v>
      </c>
      <c r="AA25" s="4">
        <v>2699151</v>
      </c>
      <c r="AB25" s="4">
        <v>2729751</v>
      </c>
      <c r="AC25" s="4">
        <v>3505085</v>
      </c>
      <c r="AD25" s="4">
        <v>3529700</v>
      </c>
    </row>
    <row r="26" spans="1:31">
      <c r="A26" s="82" t="s">
        <v>394</v>
      </c>
      <c r="B26" s="82" t="str">
        <f t="shared" si="1"/>
        <v>085</v>
      </c>
      <c r="C26" s="88">
        <v>2421762</v>
      </c>
      <c r="D26" s="88">
        <v>2370845</v>
      </c>
      <c r="E26" s="88">
        <v>2215905</v>
      </c>
      <c r="F26" s="88">
        <v>2098003</v>
      </c>
      <c r="G26" s="88">
        <v>2359312</v>
      </c>
      <c r="H26" s="88">
        <v>2236531</v>
      </c>
      <c r="I26" s="3">
        <v>2087470</v>
      </c>
      <c r="J26" s="3">
        <v>2245761</v>
      </c>
      <c r="K26" s="3">
        <v>2049657</v>
      </c>
      <c r="L26" s="3">
        <v>2126517</v>
      </c>
      <c r="M26" s="3">
        <v>2153317</v>
      </c>
      <c r="N26" s="3">
        <v>2322902</v>
      </c>
      <c r="O26" s="3">
        <v>2407159</v>
      </c>
      <c r="P26" s="3">
        <v>2269194</v>
      </c>
      <c r="Q26" s="3">
        <v>2155841</v>
      </c>
      <c r="R26" s="3">
        <v>2003105</v>
      </c>
      <c r="S26" s="3">
        <v>1729551</v>
      </c>
      <c r="T26" s="3">
        <v>1530460</v>
      </c>
      <c r="U26" s="3">
        <v>1573296</v>
      </c>
      <c r="V26" s="3">
        <v>1557380</v>
      </c>
      <c r="W26" s="3">
        <v>1525163</v>
      </c>
      <c r="X26" s="3">
        <v>1538669</v>
      </c>
      <c r="Y26" s="3">
        <v>1206960</v>
      </c>
      <c r="Z26" s="4">
        <v>2208314</v>
      </c>
      <c r="AA26" s="4">
        <v>2208314</v>
      </c>
      <c r="AB26" s="4">
        <v>2245761</v>
      </c>
      <c r="AC26" s="4">
        <v>2241210</v>
      </c>
      <c r="AD26" s="4">
        <v>2236531</v>
      </c>
    </row>
    <row r="27" spans="1:31">
      <c r="A27" s="82" t="s">
        <v>395</v>
      </c>
      <c r="B27" s="82" t="str">
        <f t="shared" si="1"/>
        <v>091</v>
      </c>
      <c r="C27" s="88">
        <v>19029350</v>
      </c>
      <c r="D27" s="88">
        <v>18583128</v>
      </c>
      <c r="E27" s="88">
        <v>18546786</v>
      </c>
      <c r="F27" s="88">
        <v>20079843</v>
      </c>
      <c r="G27" s="88">
        <v>18822321</v>
      </c>
      <c r="H27" s="88">
        <v>18211539</v>
      </c>
      <c r="I27" s="3">
        <v>19029729</v>
      </c>
      <c r="J27" s="3">
        <v>18619665</v>
      </c>
      <c r="K27" s="3">
        <v>18430508</v>
      </c>
      <c r="L27" s="3">
        <v>16356554</v>
      </c>
      <c r="M27" s="3">
        <v>16866574</v>
      </c>
      <c r="N27" s="3">
        <v>16462844</v>
      </c>
      <c r="O27" s="3">
        <v>18324915</v>
      </c>
      <c r="P27" s="3">
        <v>19236208</v>
      </c>
      <c r="Q27" s="3">
        <v>17836981</v>
      </c>
      <c r="R27" s="3">
        <v>16381158</v>
      </c>
      <c r="S27" s="3">
        <v>14891117</v>
      </c>
      <c r="T27" s="3">
        <v>14072792</v>
      </c>
      <c r="U27" s="3">
        <v>15219593</v>
      </c>
      <c r="V27" s="3">
        <v>14084745</v>
      </c>
      <c r="W27" s="3">
        <v>12575532</v>
      </c>
      <c r="X27" s="3">
        <v>10215841</v>
      </c>
      <c r="Y27" s="3">
        <v>9429451</v>
      </c>
      <c r="Z27" s="4">
        <v>17872861</v>
      </c>
      <c r="AA27" s="4">
        <v>17872861</v>
      </c>
      <c r="AB27" s="4">
        <v>18619665</v>
      </c>
      <c r="AC27" s="4">
        <v>18172243</v>
      </c>
      <c r="AD27" s="4">
        <v>18211539</v>
      </c>
    </row>
    <row r="28" spans="1:31">
      <c r="A28" s="86" t="s">
        <v>396</v>
      </c>
      <c r="B28" s="82"/>
      <c r="C28" s="88">
        <f t="shared" ref="C28:I28" si="5">SUBTOTAL(9,C24:C27)</f>
        <v>36433691</v>
      </c>
      <c r="D28" s="88">
        <f t="shared" si="5"/>
        <v>35509873</v>
      </c>
      <c r="E28" s="88">
        <f t="shared" si="5"/>
        <v>35287252</v>
      </c>
      <c r="F28" s="88">
        <f>SUBTOTAL(9,F24:F27)</f>
        <v>36124593</v>
      </c>
      <c r="G28" s="88">
        <f t="shared" si="5"/>
        <v>35451484</v>
      </c>
      <c r="H28" s="88">
        <f t="shared" si="5"/>
        <v>34633571</v>
      </c>
      <c r="I28" s="20">
        <f t="shared" si="5"/>
        <v>34393868</v>
      </c>
      <c r="J28" s="20">
        <f t="shared" ref="J28:Y28" si="6">SUBTOTAL(9,J24:J27)</f>
        <v>34233380</v>
      </c>
      <c r="K28" s="20">
        <f t="shared" si="6"/>
        <v>33451817</v>
      </c>
      <c r="L28" s="20">
        <f t="shared" si="6"/>
        <v>31015899</v>
      </c>
      <c r="M28" s="20">
        <f t="shared" si="6"/>
        <v>31524532</v>
      </c>
      <c r="N28" s="20">
        <f t="shared" si="6"/>
        <v>31176976</v>
      </c>
      <c r="O28" s="20">
        <f t="shared" si="6"/>
        <v>33472298</v>
      </c>
      <c r="P28" s="20">
        <f t="shared" si="6"/>
        <v>34053688</v>
      </c>
      <c r="Q28" s="20">
        <f t="shared" si="6"/>
        <v>31820782</v>
      </c>
      <c r="R28" s="20">
        <f t="shared" si="6"/>
        <v>29838347</v>
      </c>
      <c r="S28" s="20">
        <f t="shared" si="6"/>
        <v>27542058</v>
      </c>
      <c r="T28" s="20">
        <f t="shared" si="6"/>
        <v>26165531</v>
      </c>
      <c r="U28" s="20">
        <f t="shared" si="6"/>
        <v>26902588</v>
      </c>
      <c r="V28" s="20">
        <f t="shared" si="6"/>
        <v>25697058</v>
      </c>
      <c r="W28" s="20">
        <f t="shared" si="6"/>
        <v>23516323</v>
      </c>
      <c r="X28" s="20">
        <f t="shared" si="6"/>
        <v>20890528</v>
      </c>
      <c r="Y28" s="20">
        <f t="shared" si="6"/>
        <v>19002645</v>
      </c>
      <c r="Z28" s="16">
        <f t="shared" ref="Z28:AD28" si="7">SUBTOTAL(9,Z24:Z27)</f>
        <v>33242578</v>
      </c>
      <c r="AA28" s="16">
        <f t="shared" si="7"/>
        <v>33242578</v>
      </c>
      <c r="AB28" s="16">
        <f t="shared" si="7"/>
        <v>34233380</v>
      </c>
      <c r="AC28" s="16">
        <f t="shared" si="7"/>
        <v>34501822</v>
      </c>
      <c r="AD28" s="16">
        <f t="shared" si="7"/>
        <v>34633571</v>
      </c>
    </row>
    <row r="29" spans="1:31">
      <c r="A29" s="86" t="s">
        <v>397</v>
      </c>
      <c r="B29" s="82"/>
      <c r="C29" s="82"/>
      <c r="D29" s="78"/>
      <c r="E29" s="88"/>
      <c r="F29" s="78"/>
      <c r="G29" s="88"/>
      <c r="H29" s="88"/>
      <c r="I29" s="3"/>
      <c r="J29" s="3"/>
      <c r="K29" s="3"/>
      <c r="L29" s="3"/>
      <c r="M29" s="3"/>
      <c r="N29" s="3"/>
      <c r="O29" s="3"/>
      <c r="P29" s="3"/>
      <c r="Q29" s="3"/>
      <c r="R29" s="3">
        <v>0</v>
      </c>
      <c r="S29" s="4"/>
      <c r="T29" s="4"/>
      <c r="U29" s="4"/>
      <c r="V29" s="4"/>
      <c r="X29" s="4"/>
    </row>
    <row r="30" spans="1:31">
      <c r="A30" s="82" t="s">
        <v>410</v>
      </c>
      <c r="B30" s="82" t="str">
        <f t="shared" si="1"/>
        <v>004</v>
      </c>
      <c r="C30" s="88">
        <v>808305</v>
      </c>
      <c r="D30" s="88">
        <v>698177</v>
      </c>
      <c r="E30" s="88">
        <v>696754</v>
      </c>
      <c r="F30" s="88">
        <v>756869</v>
      </c>
      <c r="G30" s="88">
        <v>676427</v>
      </c>
      <c r="H30" s="88">
        <v>676427</v>
      </c>
      <c r="I30" s="3">
        <v>744126</v>
      </c>
      <c r="J30" s="3">
        <v>672678</v>
      </c>
      <c r="K30" s="3">
        <v>660853</v>
      </c>
      <c r="L30" s="3">
        <v>792319</v>
      </c>
      <c r="M30" s="3">
        <v>856981</v>
      </c>
      <c r="N30" s="3">
        <v>928660</v>
      </c>
      <c r="O30" s="3">
        <v>1013722</v>
      </c>
      <c r="P30" s="3">
        <v>1056325</v>
      </c>
      <c r="Q30" s="3">
        <v>967334</v>
      </c>
      <c r="R30" s="3">
        <v>1036111</v>
      </c>
      <c r="S30" s="3">
        <v>820834</v>
      </c>
      <c r="T30" s="3">
        <v>899982</v>
      </c>
      <c r="U30" s="3">
        <v>1032326</v>
      </c>
      <c r="V30" s="3">
        <v>938425</v>
      </c>
      <c r="W30" s="3">
        <v>878073</v>
      </c>
      <c r="X30" s="3">
        <v>959274</v>
      </c>
      <c r="Y30" s="3">
        <v>728745</v>
      </c>
      <c r="Z30" s="4">
        <v>664178</v>
      </c>
      <c r="AA30" s="4">
        <v>664178</v>
      </c>
      <c r="AB30" s="4">
        <v>672678</v>
      </c>
      <c r="AC30" s="4">
        <v>671078</v>
      </c>
      <c r="AD30" s="4">
        <v>676427</v>
      </c>
    </row>
    <row r="31" spans="1:31">
      <c r="A31" s="82" t="s">
        <v>398</v>
      </c>
      <c r="B31" s="82" t="str">
        <f t="shared" si="1"/>
        <v>031</v>
      </c>
      <c r="C31" s="88">
        <v>10353488</v>
      </c>
      <c r="D31" s="88">
        <v>10104746</v>
      </c>
      <c r="E31" s="88">
        <v>10083470</v>
      </c>
      <c r="F31" s="88">
        <v>9818170</v>
      </c>
      <c r="G31" s="88">
        <v>9627122</v>
      </c>
      <c r="H31" s="88">
        <v>9603503</v>
      </c>
      <c r="I31" s="3">
        <v>9800020</v>
      </c>
      <c r="J31" s="3">
        <v>8290314</v>
      </c>
      <c r="K31" s="3">
        <v>8856194</v>
      </c>
      <c r="L31" s="3">
        <v>9043223</v>
      </c>
      <c r="M31" s="3">
        <v>8346808</v>
      </c>
      <c r="N31" s="3">
        <v>8569181</v>
      </c>
      <c r="O31" s="3">
        <v>10014812</v>
      </c>
      <c r="P31" s="3">
        <v>10845421</v>
      </c>
      <c r="Q31" s="3">
        <v>10515739</v>
      </c>
      <c r="R31" s="3">
        <v>10120541</v>
      </c>
      <c r="S31" s="3">
        <v>9649529</v>
      </c>
      <c r="T31" s="3">
        <v>9638681</v>
      </c>
      <c r="U31" s="3">
        <v>9803741</v>
      </c>
      <c r="V31" s="3">
        <v>9378194</v>
      </c>
      <c r="W31" s="3">
        <v>9010703</v>
      </c>
      <c r="X31" s="3">
        <v>0</v>
      </c>
      <c r="Y31" s="3">
        <v>0</v>
      </c>
      <c r="Z31" s="4">
        <v>7594843</v>
      </c>
      <c r="AA31" s="4">
        <v>7594843</v>
      </c>
      <c r="AB31" s="4">
        <v>8290314</v>
      </c>
      <c r="AC31" s="4">
        <v>9533755</v>
      </c>
      <c r="AD31" s="4">
        <v>9603503</v>
      </c>
    </row>
    <row r="32" spans="1:31">
      <c r="A32" s="82" t="s">
        <v>474</v>
      </c>
      <c r="B32" s="89" t="s">
        <v>475</v>
      </c>
      <c r="E32" s="88"/>
      <c r="G32" s="88"/>
      <c r="H32" s="88"/>
      <c r="I32" s="3"/>
      <c r="J32" s="3">
        <v>0</v>
      </c>
      <c r="K32" s="3">
        <v>0</v>
      </c>
      <c r="L32" s="3">
        <v>0</v>
      </c>
      <c r="M32" s="3">
        <v>0</v>
      </c>
      <c r="N32" s="3">
        <v>0</v>
      </c>
      <c r="O32" s="3">
        <v>0</v>
      </c>
      <c r="P32" s="3">
        <v>0</v>
      </c>
      <c r="Q32" s="3">
        <v>0</v>
      </c>
      <c r="R32" s="3">
        <v>0</v>
      </c>
      <c r="S32" s="3">
        <v>0</v>
      </c>
      <c r="T32" s="3">
        <v>0</v>
      </c>
      <c r="U32" s="3">
        <v>0</v>
      </c>
      <c r="V32" s="3">
        <v>0</v>
      </c>
      <c r="W32" s="3">
        <v>0</v>
      </c>
      <c r="X32" s="3">
        <v>8763009</v>
      </c>
      <c r="Y32" s="3">
        <v>8101918</v>
      </c>
      <c r="Z32" s="4"/>
      <c r="AA32" s="4"/>
      <c r="AB32" s="4"/>
      <c r="AC32" s="4"/>
      <c r="AD32" s="4"/>
    </row>
    <row r="33" spans="1:30">
      <c r="A33" s="82" t="s">
        <v>413</v>
      </c>
      <c r="B33" s="82" t="str">
        <f t="shared" si="1"/>
        <v>081</v>
      </c>
      <c r="C33" s="88">
        <v>22605899</v>
      </c>
      <c r="D33" s="88">
        <v>22589661</v>
      </c>
      <c r="E33" s="88">
        <v>22539773</v>
      </c>
      <c r="F33" s="88">
        <v>21957740</v>
      </c>
      <c r="G33" s="88">
        <v>22207704</v>
      </c>
      <c r="H33" s="88">
        <v>21540589</v>
      </c>
      <c r="I33" s="3">
        <v>20636623</v>
      </c>
      <c r="J33" s="3">
        <v>21437003</v>
      </c>
      <c r="K33" s="3">
        <v>20717288</v>
      </c>
      <c r="L33" s="3">
        <v>20418482</v>
      </c>
      <c r="M33" s="3">
        <v>20095470</v>
      </c>
      <c r="N33" s="3">
        <v>20313862</v>
      </c>
      <c r="O33" s="3">
        <v>21123617</v>
      </c>
      <c r="P33" s="3">
        <v>21187221</v>
      </c>
      <c r="Q33" s="3">
        <v>20368905</v>
      </c>
      <c r="R33" s="3">
        <v>18832843</v>
      </c>
      <c r="S33" s="3">
        <v>17936852</v>
      </c>
      <c r="T33" s="3">
        <v>17488582</v>
      </c>
      <c r="U33" s="3">
        <v>16943155</v>
      </c>
      <c r="V33" s="3">
        <v>16853945</v>
      </c>
      <c r="W33" s="3">
        <v>16078098</v>
      </c>
      <c r="X33" s="3">
        <v>14569945</v>
      </c>
      <c r="Y33" s="3">
        <v>13547657</v>
      </c>
      <c r="Z33" s="4">
        <v>20843493</v>
      </c>
      <c r="AA33" s="4">
        <v>20843493</v>
      </c>
      <c r="AB33" s="4">
        <v>21437003</v>
      </c>
      <c r="AC33" s="4">
        <v>21357830</v>
      </c>
      <c r="AD33" s="4">
        <v>21540589</v>
      </c>
    </row>
    <row r="34" spans="1:30">
      <c r="A34" s="82" t="s">
        <v>473</v>
      </c>
      <c r="B34" s="89" t="s">
        <v>476</v>
      </c>
      <c r="C34" s="89"/>
      <c r="D34" s="78"/>
      <c r="E34" s="88"/>
      <c r="F34" s="78"/>
      <c r="G34" s="88"/>
      <c r="H34" s="88"/>
      <c r="I34" s="3"/>
      <c r="J34" s="3">
        <v>0</v>
      </c>
      <c r="K34" s="3">
        <v>0</v>
      </c>
      <c r="L34" s="3">
        <v>0</v>
      </c>
      <c r="M34" s="3">
        <v>0</v>
      </c>
      <c r="N34" s="3">
        <v>0</v>
      </c>
      <c r="O34" s="3">
        <v>0</v>
      </c>
      <c r="P34" s="3">
        <v>0</v>
      </c>
      <c r="Q34" s="3">
        <v>0</v>
      </c>
      <c r="R34" s="3">
        <v>0</v>
      </c>
      <c r="S34" s="3">
        <v>0</v>
      </c>
      <c r="T34" s="3">
        <v>0</v>
      </c>
      <c r="U34" s="3">
        <v>0</v>
      </c>
      <c r="V34" s="3">
        <v>0</v>
      </c>
      <c r="W34" s="3">
        <v>0</v>
      </c>
      <c r="X34" s="3">
        <v>120225</v>
      </c>
      <c r="Y34" s="3">
        <v>301057</v>
      </c>
      <c r="Z34" s="4"/>
      <c r="AA34" s="4"/>
      <c r="AB34" s="4"/>
      <c r="AC34" s="4"/>
      <c r="AD34" s="4"/>
    </row>
    <row r="35" spans="1:30">
      <c r="A35" s="82" t="s">
        <v>399</v>
      </c>
      <c r="B35" s="82" t="str">
        <f t="shared" si="1"/>
        <v>090</v>
      </c>
      <c r="C35" s="88">
        <v>189252555</v>
      </c>
      <c r="D35" s="88">
        <v>180792263</v>
      </c>
      <c r="E35" s="88">
        <v>180414827</v>
      </c>
      <c r="F35" s="88">
        <v>178721676</v>
      </c>
      <c r="G35" s="88">
        <v>185981981</v>
      </c>
      <c r="H35" s="88">
        <v>179489751</v>
      </c>
      <c r="I35" s="3">
        <v>171795597</v>
      </c>
      <c r="J35" s="3">
        <v>181241503</v>
      </c>
      <c r="K35" s="3">
        <v>170984616</v>
      </c>
      <c r="L35" s="3">
        <v>162252833</v>
      </c>
      <c r="M35" s="3">
        <v>162921830</v>
      </c>
      <c r="N35" s="3">
        <v>164661587</v>
      </c>
      <c r="O35" s="3">
        <v>171857413</v>
      </c>
      <c r="P35" s="3">
        <v>169104879</v>
      </c>
      <c r="Q35" s="3">
        <v>165188968</v>
      </c>
      <c r="R35" s="3">
        <v>152189837</v>
      </c>
      <c r="S35" s="3">
        <v>135369398</v>
      </c>
      <c r="T35" s="3">
        <v>134925370</v>
      </c>
      <c r="U35" s="3">
        <v>126532922</v>
      </c>
      <c r="V35" s="3">
        <v>111839835</v>
      </c>
      <c r="W35" s="3">
        <v>106508520</v>
      </c>
      <c r="X35" s="3">
        <v>108730121</v>
      </c>
      <c r="Y35" s="3">
        <v>96679810</v>
      </c>
      <c r="Z35" s="4">
        <v>175549661</v>
      </c>
      <c r="AA35" s="4">
        <v>175549661</v>
      </c>
      <c r="AB35" s="4">
        <v>181241503</v>
      </c>
      <c r="AC35" s="4">
        <v>178535588</v>
      </c>
      <c r="AD35" s="4">
        <v>179489751</v>
      </c>
    </row>
    <row r="36" spans="1:30">
      <c r="A36" s="82" t="s">
        <v>395</v>
      </c>
      <c r="B36" s="82" t="str">
        <f t="shared" si="1"/>
        <v>091</v>
      </c>
      <c r="C36" s="88">
        <v>47435363</v>
      </c>
      <c r="D36" s="88">
        <v>46196681</v>
      </c>
      <c r="E36" s="88">
        <v>46094067</v>
      </c>
      <c r="F36" s="88">
        <v>41671629</v>
      </c>
      <c r="G36" s="88">
        <v>46586319</v>
      </c>
      <c r="H36" s="88">
        <v>45522583</v>
      </c>
      <c r="I36" s="3">
        <v>42467058</v>
      </c>
      <c r="J36" s="3">
        <v>45875739</v>
      </c>
      <c r="K36" s="3">
        <v>41434270</v>
      </c>
      <c r="L36" s="3">
        <v>41916058</v>
      </c>
      <c r="M36" s="3">
        <v>41080484</v>
      </c>
      <c r="N36" s="3">
        <v>41470229</v>
      </c>
      <c r="O36" s="3">
        <v>41640998</v>
      </c>
      <c r="P36" s="3">
        <v>41401782</v>
      </c>
      <c r="Q36" s="3">
        <v>38699827</v>
      </c>
      <c r="R36" s="3">
        <v>36802549</v>
      </c>
      <c r="S36" s="3">
        <v>34696606</v>
      </c>
      <c r="T36" s="3">
        <v>33048138</v>
      </c>
      <c r="U36" s="3">
        <v>31835855</v>
      </c>
      <c r="V36" s="3">
        <v>30520590</v>
      </c>
      <c r="W36" s="3">
        <v>29184817</v>
      </c>
      <c r="X36" s="3">
        <v>24560237</v>
      </c>
      <c r="Y36" s="3">
        <v>22511340</v>
      </c>
      <c r="Z36" s="4">
        <v>44497605</v>
      </c>
      <c r="AA36" s="4">
        <v>44497605</v>
      </c>
      <c r="AB36" s="4">
        <v>45875739</v>
      </c>
      <c r="AC36" s="4">
        <v>45115228</v>
      </c>
      <c r="AD36" s="4">
        <v>45522583</v>
      </c>
    </row>
    <row r="37" spans="1:30">
      <c r="A37" s="82" t="s">
        <v>400</v>
      </c>
      <c r="B37" s="82" t="str">
        <f t="shared" si="1"/>
        <v>092</v>
      </c>
      <c r="C37" s="88">
        <v>196468261</v>
      </c>
      <c r="D37" s="88">
        <v>186829813</v>
      </c>
      <c r="E37" s="88">
        <v>186484221</v>
      </c>
      <c r="F37" s="88">
        <v>182769246</v>
      </c>
      <c r="G37" s="88">
        <v>187456643</v>
      </c>
      <c r="H37" s="88">
        <v>182788975</v>
      </c>
      <c r="I37" s="3">
        <v>174824888</v>
      </c>
      <c r="J37" s="3">
        <v>179719363</v>
      </c>
      <c r="K37" s="3">
        <v>168324397</v>
      </c>
      <c r="L37" s="3">
        <v>163219725</v>
      </c>
      <c r="M37" s="3">
        <v>159693463</v>
      </c>
      <c r="N37" s="3">
        <v>164278014</v>
      </c>
      <c r="O37" s="3">
        <v>164698315</v>
      </c>
      <c r="P37" s="3">
        <v>165635104</v>
      </c>
      <c r="Q37" s="3">
        <v>162161420</v>
      </c>
      <c r="R37" s="3">
        <v>150327475</v>
      </c>
      <c r="S37" s="3">
        <v>128617277</v>
      </c>
      <c r="T37" s="3">
        <v>116006615</v>
      </c>
      <c r="U37" s="3">
        <v>111909828</v>
      </c>
      <c r="V37" s="3">
        <v>106302665</v>
      </c>
      <c r="W37" s="3">
        <v>95487186</v>
      </c>
      <c r="X37" s="3">
        <v>86519792</v>
      </c>
      <c r="Y37" s="3">
        <v>79393860</v>
      </c>
      <c r="Z37" s="4">
        <v>170859601</v>
      </c>
      <c r="AA37" s="4">
        <v>170859601</v>
      </c>
      <c r="AB37" s="4">
        <v>179719363</v>
      </c>
      <c r="AC37" s="4">
        <v>182435350</v>
      </c>
      <c r="AD37" s="4">
        <v>182788975</v>
      </c>
    </row>
    <row r="38" spans="1:30">
      <c r="A38" s="82" t="s">
        <v>401</v>
      </c>
      <c r="B38" s="82" t="str">
        <f t="shared" si="1"/>
        <v>093</v>
      </c>
      <c r="C38" s="88">
        <v>1872473</v>
      </c>
      <c r="D38" s="88">
        <v>1836708</v>
      </c>
      <c r="E38" s="88">
        <v>1833374</v>
      </c>
      <c r="F38" s="88">
        <v>1877335</v>
      </c>
      <c r="G38" s="88">
        <v>2505096</v>
      </c>
      <c r="H38" s="88">
        <v>1851442</v>
      </c>
      <c r="I38" s="3">
        <v>1627581</v>
      </c>
      <c r="J38" s="3">
        <v>2337837</v>
      </c>
      <c r="K38" s="3">
        <v>1661944</v>
      </c>
      <c r="L38" s="3">
        <v>1864298</v>
      </c>
      <c r="M38" s="3">
        <v>1785650</v>
      </c>
      <c r="N38" s="3">
        <v>1538552</v>
      </c>
      <c r="O38" s="3">
        <v>1826653</v>
      </c>
      <c r="P38" s="3">
        <v>1759241</v>
      </c>
      <c r="Q38" s="3">
        <v>1646424</v>
      </c>
      <c r="R38" s="3">
        <v>762994</v>
      </c>
      <c r="S38" s="3">
        <v>571260</v>
      </c>
      <c r="T38" s="3">
        <v>0</v>
      </c>
      <c r="U38" s="3">
        <v>0</v>
      </c>
      <c r="V38" s="3">
        <v>0</v>
      </c>
      <c r="W38" s="3">
        <v>0</v>
      </c>
      <c r="X38" s="3">
        <v>0</v>
      </c>
      <c r="Y38" s="3">
        <v>0</v>
      </c>
      <c r="Z38" s="4">
        <v>1822734</v>
      </c>
      <c r="AA38" s="4">
        <v>1822734</v>
      </c>
      <c r="AB38" s="4">
        <v>2337837</v>
      </c>
      <c r="AC38" s="4">
        <v>1909406</v>
      </c>
      <c r="AD38" s="4">
        <v>1851442</v>
      </c>
    </row>
    <row r="39" spans="1:30">
      <c r="A39" s="82" t="s">
        <v>472</v>
      </c>
      <c r="B39" s="82" t="str">
        <f t="shared" si="1"/>
        <v>096</v>
      </c>
      <c r="E39" s="88"/>
      <c r="G39" s="88"/>
      <c r="H39" s="88"/>
      <c r="I39" s="3"/>
      <c r="J39" s="3">
        <v>0</v>
      </c>
      <c r="K39" s="3">
        <v>0</v>
      </c>
      <c r="L39" s="3">
        <v>0</v>
      </c>
      <c r="M39" s="3">
        <v>0</v>
      </c>
      <c r="N39" s="3">
        <v>0</v>
      </c>
      <c r="O39" s="3">
        <v>0</v>
      </c>
      <c r="P39" s="3">
        <v>0</v>
      </c>
      <c r="Q39" s="3">
        <v>0</v>
      </c>
      <c r="R39" s="3">
        <v>0</v>
      </c>
      <c r="S39" s="3">
        <v>0</v>
      </c>
      <c r="T39" s="3">
        <v>0</v>
      </c>
      <c r="U39" s="3">
        <v>0</v>
      </c>
      <c r="V39" s="3">
        <v>1043641</v>
      </c>
      <c r="W39" s="3">
        <v>770772</v>
      </c>
      <c r="X39" s="3">
        <v>688455</v>
      </c>
      <c r="Y39" s="3">
        <v>0</v>
      </c>
      <c r="Z39" s="4"/>
      <c r="AA39" s="4"/>
      <c r="AB39" s="4"/>
      <c r="AC39" s="4"/>
      <c r="AD39" s="4"/>
    </row>
    <row r="40" spans="1:30">
      <c r="A40" s="82" t="s">
        <v>402</v>
      </c>
      <c r="B40" s="82" t="str">
        <f t="shared" si="1"/>
        <v>097</v>
      </c>
      <c r="C40" s="88">
        <v>4339241</v>
      </c>
      <c r="D40" s="88">
        <v>4225341</v>
      </c>
      <c r="E40" s="88">
        <v>4096117</v>
      </c>
      <c r="F40" s="88">
        <v>3943145</v>
      </c>
      <c r="G40" s="88">
        <v>4090635</v>
      </c>
      <c r="H40" s="88">
        <v>4086871</v>
      </c>
      <c r="I40" s="3">
        <v>4033569</v>
      </c>
      <c r="J40" s="3">
        <v>4059715</v>
      </c>
      <c r="K40" s="3">
        <v>3595916</v>
      </c>
      <c r="L40" s="3">
        <v>3599279</v>
      </c>
      <c r="M40" s="3">
        <v>3143939</v>
      </c>
      <c r="N40" s="3">
        <v>0</v>
      </c>
      <c r="O40" s="3">
        <v>0</v>
      </c>
      <c r="P40" s="3">
        <v>0</v>
      </c>
      <c r="Q40" s="3">
        <v>0</v>
      </c>
      <c r="R40" s="3">
        <v>0</v>
      </c>
      <c r="S40" s="3">
        <v>0</v>
      </c>
      <c r="T40" s="3">
        <v>0</v>
      </c>
      <c r="U40" s="3">
        <v>0</v>
      </c>
      <c r="V40" s="3">
        <v>0</v>
      </c>
      <c r="W40" s="3">
        <v>0</v>
      </c>
      <c r="X40" s="3">
        <v>0</v>
      </c>
      <c r="Y40" s="3">
        <v>0</v>
      </c>
      <c r="Z40" s="4">
        <v>3985898</v>
      </c>
      <c r="AA40" s="4">
        <v>3985898</v>
      </c>
      <c r="AB40" s="4">
        <v>4059715</v>
      </c>
      <c r="AC40" s="4">
        <v>4070680</v>
      </c>
      <c r="AD40" s="4">
        <v>4086871</v>
      </c>
    </row>
    <row r="41" spans="1:30">
      <c r="A41" s="86" t="s">
        <v>403</v>
      </c>
      <c r="B41" s="82"/>
      <c r="C41" s="88">
        <f t="shared" ref="C41:I41" si="8">SUBTOTAL(9,C30:C40)</f>
        <v>473135585</v>
      </c>
      <c r="D41" s="88">
        <f t="shared" si="8"/>
        <v>453273390</v>
      </c>
      <c r="E41" s="88">
        <f t="shared" si="8"/>
        <v>452242603</v>
      </c>
      <c r="F41" s="88">
        <f>SUBTOTAL(9,F30:F40)</f>
        <v>441515810</v>
      </c>
      <c r="G41" s="88">
        <f t="shared" si="8"/>
        <v>459131927</v>
      </c>
      <c r="H41" s="88">
        <f t="shared" si="8"/>
        <v>445560141</v>
      </c>
      <c r="I41" s="20">
        <f t="shared" si="8"/>
        <v>425929462</v>
      </c>
      <c r="J41" s="20">
        <f t="shared" ref="J41:Y41" si="9">SUBTOTAL(9,J30:J40)</f>
        <v>443634152</v>
      </c>
      <c r="K41" s="20">
        <f t="shared" si="9"/>
        <v>416235478</v>
      </c>
      <c r="L41" s="20">
        <f t="shared" si="9"/>
        <v>403106217</v>
      </c>
      <c r="M41" s="20">
        <f t="shared" si="9"/>
        <v>397924625</v>
      </c>
      <c r="N41" s="20">
        <f t="shared" si="9"/>
        <v>401760085</v>
      </c>
      <c r="O41" s="20">
        <f t="shared" si="9"/>
        <v>412175530</v>
      </c>
      <c r="P41" s="20">
        <f t="shared" si="9"/>
        <v>410989973</v>
      </c>
      <c r="Q41" s="20">
        <f t="shared" si="9"/>
        <v>399548617</v>
      </c>
      <c r="R41" s="20">
        <f t="shared" si="9"/>
        <v>370072350</v>
      </c>
      <c r="S41" s="20">
        <f t="shared" si="9"/>
        <v>327661756</v>
      </c>
      <c r="T41" s="20">
        <f t="shared" si="9"/>
        <v>312007368</v>
      </c>
      <c r="U41" s="20">
        <f t="shared" si="9"/>
        <v>298057827</v>
      </c>
      <c r="V41" s="20">
        <f t="shared" si="9"/>
        <v>276877295</v>
      </c>
      <c r="W41" s="20">
        <f t="shared" si="9"/>
        <v>257918169</v>
      </c>
      <c r="X41" s="20">
        <f t="shared" si="9"/>
        <v>244911058</v>
      </c>
      <c r="Y41" s="20">
        <f t="shared" si="9"/>
        <v>221264387</v>
      </c>
      <c r="Z41" s="16">
        <f t="shared" ref="Z41:AD41" si="10">SUBTOTAL(9,Z30:Z40)</f>
        <v>425818013</v>
      </c>
      <c r="AA41" s="16">
        <f t="shared" si="10"/>
        <v>425818013</v>
      </c>
      <c r="AB41" s="16">
        <f t="shared" si="10"/>
        <v>443634152</v>
      </c>
      <c r="AC41" s="16">
        <f t="shared" si="10"/>
        <v>443628915</v>
      </c>
      <c r="AD41" s="16">
        <f t="shared" si="10"/>
        <v>445560141</v>
      </c>
    </row>
    <row r="42" spans="1:30">
      <c r="A42" s="86" t="s">
        <v>404</v>
      </c>
      <c r="B42" s="82"/>
      <c r="C42" s="82"/>
      <c r="D42" s="78"/>
      <c r="E42" s="88"/>
      <c r="F42" s="78"/>
      <c r="G42" s="88"/>
      <c r="H42" s="88"/>
      <c r="I42" s="3"/>
      <c r="M42" s="3"/>
      <c r="N42" s="3"/>
      <c r="O42" s="3"/>
      <c r="P42" s="3"/>
      <c r="Q42" s="3"/>
      <c r="R42" s="3">
        <v>0</v>
      </c>
      <c r="S42" s="4"/>
      <c r="T42" s="4"/>
      <c r="U42" s="4"/>
      <c r="V42" s="4"/>
      <c r="Y42" s="4"/>
    </row>
    <row r="43" spans="1:30">
      <c r="A43" s="82" t="s">
        <v>405</v>
      </c>
      <c r="B43" s="82" t="str">
        <f t="shared" si="1"/>
        <v>008</v>
      </c>
      <c r="C43" s="88">
        <v>57393164</v>
      </c>
      <c r="D43" s="88">
        <v>54523321</v>
      </c>
      <c r="E43" s="88">
        <v>54540867</v>
      </c>
      <c r="F43" s="88">
        <v>52395116</v>
      </c>
      <c r="G43" s="88">
        <v>55491713</v>
      </c>
      <c r="H43" s="88">
        <v>54213238</v>
      </c>
      <c r="I43" s="3">
        <v>51881513</v>
      </c>
      <c r="J43">
        <v>53879398</v>
      </c>
      <c r="K43">
        <v>52827898</v>
      </c>
      <c r="L43" s="3">
        <v>49287831</v>
      </c>
      <c r="M43" s="3">
        <v>47243923</v>
      </c>
      <c r="N43" s="3">
        <v>46994914</v>
      </c>
      <c r="O43" s="3">
        <v>50669910</v>
      </c>
      <c r="P43" s="3">
        <v>47662074</v>
      </c>
      <c r="Q43" s="3">
        <v>42329615</v>
      </c>
      <c r="R43" s="3">
        <v>38941037</v>
      </c>
      <c r="S43" s="3">
        <v>36120038</v>
      </c>
      <c r="T43" s="3">
        <v>34199314</v>
      </c>
      <c r="U43" s="3">
        <v>34071255</v>
      </c>
      <c r="V43" s="3">
        <v>32795930</v>
      </c>
      <c r="W43" s="3">
        <v>30047194</v>
      </c>
      <c r="X43" s="3">
        <v>27601870</v>
      </c>
      <c r="Y43" s="3">
        <v>24325784</v>
      </c>
      <c r="Z43" s="4">
        <v>51051935</v>
      </c>
      <c r="AA43" s="4">
        <v>51051935</v>
      </c>
      <c r="AB43" s="4">
        <v>53879398</v>
      </c>
      <c r="AC43" s="4">
        <v>54560681</v>
      </c>
      <c r="AD43" s="4">
        <v>54213238</v>
      </c>
    </row>
    <row r="44" spans="1:30">
      <c r="A44" s="82" t="s">
        <v>477</v>
      </c>
      <c r="B44" s="89" t="s">
        <v>478</v>
      </c>
      <c r="E44" s="88"/>
      <c r="G44" s="88"/>
      <c r="H44" s="88"/>
      <c r="I44" s="3"/>
      <c r="J44" s="3">
        <v>0</v>
      </c>
      <c r="K44" s="3">
        <v>0</v>
      </c>
      <c r="L44" s="3">
        <v>0</v>
      </c>
      <c r="M44" s="3">
        <v>0</v>
      </c>
      <c r="N44" s="3">
        <v>0</v>
      </c>
      <c r="O44" s="3">
        <v>0</v>
      </c>
      <c r="P44" s="3">
        <v>0</v>
      </c>
      <c r="Q44" s="3">
        <v>0</v>
      </c>
      <c r="R44" s="3">
        <v>0</v>
      </c>
      <c r="S44" s="3">
        <v>0</v>
      </c>
      <c r="T44" s="3">
        <v>0</v>
      </c>
      <c r="U44" s="3">
        <v>0</v>
      </c>
      <c r="V44" s="3">
        <v>0</v>
      </c>
      <c r="W44" s="3">
        <v>0</v>
      </c>
      <c r="X44" s="3">
        <v>571414</v>
      </c>
      <c r="Y44" s="3">
        <v>564323</v>
      </c>
      <c r="Z44" s="4"/>
      <c r="AA44" s="4"/>
      <c r="AB44" s="4"/>
      <c r="AC44" s="4"/>
      <c r="AD44" s="4"/>
    </row>
    <row r="45" spans="1:30">
      <c r="A45" s="82" t="s">
        <v>406</v>
      </c>
      <c r="B45" s="82" t="str">
        <f t="shared" si="1"/>
        <v>025</v>
      </c>
      <c r="C45" s="88">
        <v>1258884</v>
      </c>
      <c r="D45" s="88">
        <v>1205527</v>
      </c>
      <c r="E45" s="88">
        <v>1201602</v>
      </c>
      <c r="F45" s="88">
        <v>903588</v>
      </c>
      <c r="G45" s="88">
        <v>980765</v>
      </c>
      <c r="H45" s="88">
        <v>975287</v>
      </c>
      <c r="I45" s="3">
        <v>755411</v>
      </c>
      <c r="J45">
        <v>781022</v>
      </c>
      <c r="K45">
        <v>739970</v>
      </c>
      <c r="L45" s="4">
        <v>734845</v>
      </c>
      <c r="M45" s="3">
        <v>266997</v>
      </c>
      <c r="N45" s="3">
        <v>329616</v>
      </c>
      <c r="O45" s="3">
        <v>342029</v>
      </c>
      <c r="P45" s="3">
        <v>428973</v>
      </c>
      <c r="Q45" s="3">
        <v>380304</v>
      </c>
      <c r="R45" s="3">
        <v>373675</v>
      </c>
      <c r="S45" s="3">
        <v>318787</v>
      </c>
      <c r="T45" s="3">
        <v>2693666</v>
      </c>
      <c r="U45" s="3">
        <v>2507673</v>
      </c>
      <c r="V45" s="3">
        <v>2514292</v>
      </c>
      <c r="W45" s="3">
        <v>2172741</v>
      </c>
      <c r="X45" s="3">
        <v>378862</v>
      </c>
      <c r="Y45" s="3">
        <v>268141</v>
      </c>
      <c r="Z45" s="4">
        <v>771489</v>
      </c>
      <c r="AA45" s="4">
        <v>771489</v>
      </c>
      <c r="AB45" s="4">
        <v>781022</v>
      </c>
      <c r="AC45" s="4">
        <v>964830</v>
      </c>
      <c r="AD45" s="4">
        <v>975287</v>
      </c>
    </row>
    <row r="46" spans="1:30">
      <c r="A46" s="82" t="s">
        <v>407</v>
      </c>
      <c r="B46" s="82" t="str">
        <f t="shared" si="1"/>
        <v>026</v>
      </c>
      <c r="C46" s="88">
        <v>14033088</v>
      </c>
      <c r="D46" s="88">
        <v>13475164</v>
      </c>
      <c r="E46" s="88">
        <v>13446059</v>
      </c>
      <c r="F46" s="88">
        <v>13150051</v>
      </c>
      <c r="G46" s="88">
        <v>13392168</v>
      </c>
      <c r="H46" s="88">
        <v>13195451</v>
      </c>
      <c r="I46" s="3">
        <v>12843761</v>
      </c>
      <c r="J46">
        <v>12887882</v>
      </c>
      <c r="K46">
        <v>11925564</v>
      </c>
      <c r="L46" s="4">
        <v>11479882</v>
      </c>
      <c r="M46" s="3">
        <v>10627080</v>
      </c>
      <c r="N46" s="3">
        <v>10423284</v>
      </c>
      <c r="O46" s="3">
        <v>11432331</v>
      </c>
      <c r="P46" s="3">
        <v>11456300</v>
      </c>
      <c r="Q46" s="3">
        <v>10124619</v>
      </c>
      <c r="R46" s="3">
        <v>9188293</v>
      </c>
      <c r="S46" s="3">
        <v>8634192</v>
      </c>
      <c r="T46" s="3">
        <v>8128860</v>
      </c>
      <c r="U46" s="3">
        <v>8481594</v>
      </c>
      <c r="V46" s="3">
        <v>8208103</v>
      </c>
      <c r="W46" s="3">
        <v>7934010</v>
      </c>
      <c r="X46" s="3">
        <v>918532</v>
      </c>
      <c r="Y46" s="3">
        <v>845955</v>
      </c>
      <c r="Z46" s="4">
        <v>12653954</v>
      </c>
      <c r="AA46" s="4">
        <v>12653954</v>
      </c>
      <c r="AB46" s="4">
        <v>12887882</v>
      </c>
      <c r="AC46" s="4">
        <v>13103317</v>
      </c>
      <c r="AD46" s="4">
        <v>13195451</v>
      </c>
    </row>
    <row r="47" spans="1:30">
      <c r="A47" s="82" t="s">
        <v>479</v>
      </c>
      <c r="B47" s="89" t="s">
        <v>480</v>
      </c>
      <c r="E47" s="88"/>
      <c r="G47" s="88"/>
      <c r="H47" s="88"/>
      <c r="I47" s="3"/>
      <c r="J47" s="3">
        <v>0</v>
      </c>
      <c r="K47" s="3">
        <v>0</v>
      </c>
      <c r="L47" s="3">
        <v>0</v>
      </c>
      <c r="M47" s="3">
        <v>0</v>
      </c>
      <c r="N47" s="3">
        <v>0</v>
      </c>
      <c r="O47" s="3">
        <v>0</v>
      </c>
      <c r="P47" s="3">
        <v>0</v>
      </c>
      <c r="Q47" s="3">
        <v>0</v>
      </c>
      <c r="R47" s="3">
        <v>0</v>
      </c>
      <c r="S47" s="3">
        <v>0</v>
      </c>
      <c r="T47" s="3">
        <v>0</v>
      </c>
      <c r="U47" s="3">
        <v>0</v>
      </c>
      <c r="V47" s="3">
        <v>0</v>
      </c>
      <c r="W47" s="3">
        <v>0</v>
      </c>
      <c r="X47" s="3">
        <v>6511793</v>
      </c>
      <c r="Y47" s="3">
        <v>6195481</v>
      </c>
      <c r="Z47" s="4"/>
      <c r="AA47" s="4"/>
      <c r="AB47" s="4"/>
      <c r="AC47" s="4"/>
      <c r="AD47" s="4"/>
    </row>
    <row r="48" spans="1:30">
      <c r="A48" s="82" t="s">
        <v>461</v>
      </c>
      <c r="B48" s="89" t="s">
        <v>482</v>
      </c>
      <c r="C48" s="89"/>
      <c r="D48" s="78"/>
      <c r="E48" s="88"/>
      <c r="F48" s="78"/>
      <c r="G48" s="88"/>
      <c r="H48" s="88"/>
      <c r="I48" s="3"/>
      <c r="J48" s="3">
        <v>0</v>
      </c>
      <c r="K48" s="3">
        <v>0</v>
      </c>
      <c r="L48" s="3">
        <v>0</v>
      </c>
      <c r="M48" s="3">
        <v>0</v>
      </c>
      <c r="N48" s="3">
        <v>0</v>
      </c>
      <c r="O48" s="3">
        <v>3413817</v>
      </c>
      <c r="P48" s="3">
        <v>10528192</v>
      </c>
      <c r="Q48" s="3">
        <v>11025602</v>
      </c>
      <c r="R48" s="3">
        <v>9236578</v>
      </c>
      <c r="S48" s="3">
        <v>7895858</v>
      </c>
      <c r="T48" s="3">
        <v>8155719</v>
      </c>
      <c r="U48" s="3">
        <v>7842821</v>
      </c>
      <c r="V48" s="3">
        <v>7423693</v>
      </c>
      <c r="W48" s="3">
        <v>6676784</v>
      </c>
      <c r="X48" s="3">
        <v>5929287</v>
      </c>
      <c r="Y48" s="3">
        <v>5389341</v>
      </c>
      <c r="Z48" s="4"/>
      <c r="AA48" s="4"/>
      <c r="AB48" s="4"/>
      <c r="AC48" s="4"/>
      <c r="AD48" s="4"/>
    </row>
    <row r="49" spans="1:30">
      <c r="A49" s="82" t="s">
        <v>481</v>
      </c>
      <c r="B49" s="89" t="s">
        <v>483</v>
      </c>
      <c r="C49" s="89"/>
      <c r="D49" s="78"/>
      <c r="E49" s="88"/>
      <c r="F49" s="78"/>
      <c r="G49" s="88"/>
      <c r="H49" s="88"/>
      <c r="I49" s="3"/>
      <c r="J49" s="3">
        <v>0</v>
      </c>
      <c r="K49" s="3">
        <v>0</v>
      </c>
      <c r="L49" s="3">
        <v>0</v>
      </c>
      <c r="M49" s="3">
        <v>0</v>
      </c>
      <c r="N49" s="3">
        <v>0</v>
      </c>
      <c r="O49" s="3">
        <v>0</v>
      </c>
      <c r="P49" s="3">
        <v>0</v>
      </c>
      <c r="Q49" s="3">
        <v>0</v>
      </c>
      <c r="R49" s="3">
        <v>0</v>
      </c>
      <c r="S49" s="3">
        <v>0</v>
      </c>
      <c r="T49" s="3">
        <v>0</v>
      </c>
      <c r="U49" s="3">
        <v>0</v>
      </c>
      <c r="V49" s="3">
        <v>0</v>
      </c>
      <c r="W49" s="3">
        <v>0</v>
      </c>
      <c r="X49" s="3">
        <v>149448</v>
      </c>
      <c r="Y49" s="3">
        <v>122871</v>
      </c>
      <c r="Z49" s="4"/>
      <c r="AA49" s="4"/>
      <c r="AB49" s="4"/>
      <c r="AC49" s="4"/>
      <c r="AD49" s="4"/>
    </row>
    <row r="50" spans="1:30">
      <c r="A50" s="82" t="s">
        <v>408</v>
      </c>
      <c r="B50" s="82" t="str">
        <f t="shared" si="1"/>
        <v>087</v>
      </c>
      <c r="C50" s="88">
        <v>3665562</v>
      </c>
      <c r="D50" s="88">
        <v>3391562</v>
      </c>
      <c r="E50" s="88">
        <v>3391562</v>
      </c>
      <c r="F50" s="88">
        <v>3233528</v>
      </c>
      <c r="G50" s="88">
        <v>3633711</v>
      </c>
      <c r="H50" s="88">
        <v>3481562</v>
      </c>
      <c r="I50" s="3">
        <v>4404904</v>
      </c>
      <c r="J50">
        <v>4584768</v>
      </c>
      <c r="K50">
        <v>2896545</v>
      </c>
      <c r="L50" s="4">
        <v>2373270</v>
      </c>
      <c r="M50" s="3">
        <v>3489020</v>
      </c>
      <c r="N50" s="3">
        <v>4288745</v>
      </c>
      <c r="O50" s="3">
        <v>425357</v>
      </c>
      <c r="P50" s="3">
        <v>465903</v>
      </c>
      <c r="Q50" s="3">
        <v>658618</v>
      </c>
      <c r="R50" s="3">
        <v>230709</v>
      </c>
      <c r="S50" s="3">
        <v>239977</v>
      </c>
      <c r="T50" s="3">
        <v>189249</v>
      </c>
      <c r="U50" s="3">
        <v>218704</v>
      </c>
      <c r="V50" s="3">
        <v>220473</v>
      </c>
      <c r="W50" s="3">
        <v>189419</v>
      </c>
      <c r="X50" s="3">
        <v>70924</v>
      </c>
      <c r="Y50" s="3">
        <v>64395</v>
      </c>
      <c r="Z50" s="4">
        <v>3481562</v>
      </c>
      <c r="AA50" s="4">
        <v>3481562</v>
      </c>
      <c r="AB50" s="4">
        <v>4584768</v>
      </c>
      <c r="AC50" s="4">
        <v>3481562</v>
      </c>
      <c r="AD50" s="4">
        <v>3481562</v>
      </c>
    </row>
    <row r="51" spans="1:30">
      <c r="A51" s="86" t="s">
        <v>409</v>
      </c>
      <c r="B51" s="82"/>
      <c r="C51" s="88">
        <f t="shared" ref="C51:I51" si="11">SUBTOTAL(9,C43:C50)</f>
        <v>76350698</v>
      </c>
      <c r="D51" s="88">
        <f t="shared" si="11"/>
        <v>72595574</v>
      </c>
      <c r="E51" s="88">
        <f t="shared" si="11"/>
        <v>72580090</v>
      </c>
      <c r="F51" s="88">
        <f>SUBTOTAL(9,F43:F50)</f>
        <v>69682283</v>
      </c>
      <c r="G51" s="88">
        <f t="shared" si="11"/>
        <v>73498357</v>
      </c>
      <c r="H51" s="88">
        <f t="shared" si="11"/>
        <v>71865538</v>
      </c>
      <c r="I51" s="20">
        <f t="shared" si="11"/>
        <v>69885589</v>
      </c>
      <c r="J51" s="20">
        <f t="shared" ref="J51:Y51" si="12">SUBTOTAL(9,J43:J50)</f>
        <v>72133070</v>
      </c>
      <c r="K51" s="20">
        <f t="shared" si="12"/>
        <v>68389977</v>
      </c>
      <c r="L51" s="20">
        <f t="shared" si="12"/>
        <v>63875828</v>
      </c>
      <c r="M51" s="20">
        <f t="shared" si="12"/>
        <v>61627020</v>
      </c>
      <c r="N51" s="20">
        <f t="shared" si="12"/>
        <v>62036559</v>
      </c>
      <c r="O51" s="20">
        <f t="shared" si="12"/>
        <v>66283444</v>
      </c>
      <c r="P51" s="20">
        <f t="shared" si="12"/>
        <v>70541442</v>
      </c>
      <c r="Q51" s="20">
        <f t="shared" si="12"/>
        <v>64518758</v>
      </c>
      <c r="R51" s="20">
        <f t="shared" si="12"/>
        <v>57970292</v>
      </c>
      <c r="S51" s="20">
        <f t="shared" si="12"/>
        <v>53208852</v>
      </c>
      <c r="T51" s="20">
        <f t="shared" si="12"/>
        <v>53366808</v>
      </c>
      <c r="U51" s="20">
        <f t="shared" si="12"/>
        <v>53122047</v>
      </c>
      <c r="V51" s="20">
        <f t="shared" si="12"/>
        <v>51162491</v>
      </c>
      <c r="W51" s="20">
        <f t="shared" si="12"/>
        <v>47020148</v>
      </c>
      <c r="X51" s="20">
        <f t="shared" si="12"/>
        <v>42132130</v>
      </c>
      <c r="Y51" s="20">
        <f t="shared" si="12"/>
        <v>37776291</v>
      </c>
      <c r="Z51" s="16">
        <f t="shared" ref="Z51:AD51" si="13">SUBTOTAL(9,Z43:Z50)</f>
        <v>67958940</v>
      </c>
      <c r="AA51" s="16">
        <f t="shared" si="13"/>
        <v>67958940</v>
      </c>
      <c r="AB51" s="16">
        <f t="shared" si="13"/>
        <v>72133070</v>
      </c>
      <c r="AC51" s="16">
        <f t="shared" si="13"/>
        <v>72110390</v>
      </c>
      <c r="AD51" s="16">
        <f t="shared" si="13"/>
        <v>71865538</v>
      </c>
    </row>
    <row r="52" spans="1:30">
      <c r="A52" s="86" t="s">
        <v>414</v>
      </c>
      <c r="B52" s="82"/>
      <c r="C52" s="82"/>
      <c r="D52" s="78"/>
      <c r="E52" s="88"/>
      <c r="F52" s="78"/>
      <c r="G52" s="88"/>
      <c r="H52" s="88"/>
      <c r="I52" s="3"/>
      <c r="M52" s="3"/>
      <c r="N52" s="3"/>
      <c r="O52" s="3"/>
      <c r="P52" s="3"/>
      <c r="Q52" s="3"/>
      <c r="R52" s="3"/>
      <c r="S52" s="4"/>
      <c r="T52" s="4"/>
      <c r="U52" s="4"/>
      <c r="V52" s="4"/>
    </row>
    <row r="53" spans="1:30">
      <c r="A53" s="82" t="s">
        <v>659</v>
      </c>
      <c r="B53" s="82"/>
      <c r="C53" s="82"/>
      <c r="D53" s="78"/>
      <c r="E53" s="88"/>
      <c r="F53" s="78"/>
      <c r="G53" s="88"/>
      <c r="H53" s="88"/>
      <c r="I53" s="3"/>
      <c r="J53" s="3">
        <v>0</v>
      </c>
      <c r="K53" s="3">
        <v>0</v>
      </c>
      <c r="L53" s="3">
        <v>0</v>
      </c>
      <c r="M53" s="3">
        <v>0</v>
      </c>
      <c r="N53" s="3">
        <v>0</v>
      </c>
      <c r="O53" s="3">
        <v>0</v>
      </c>
      <c r="P53" s="3">
        <v>0</v>
      </c>
      <c r="Q53" s="3">
        <v>0</v>
      </c>
      <c r="R53" s="3">
        <v>0</v>
      </c>
      <c r="S53" s="3">
        <v>0</v>
      </c>
      <c r="T53" s="3">
        <v>0</v>
      </c>
      <c r="U53" s="3">
        <v>415303</v>
      </c>
      <c r="V53" s="3">
        <v>480238</v>
      </c>
      <c r="W53" s="3">
        <v>396876</v>
      </c>
      <c r="X53" s="3">
        <v>330251</v>
      </c>
      <c r="Y53" s="3">
        <v>304890</v>
      </c>
    </row>
    <row r="54" spans="1:30">
      <c r="A54" s="82" t="s">
        <v>415</v>
      </c>
      <c r="B54" s="82" t="str">
        <f t="shared" si="1"/>
        <v>067</v>
      </c>
      <c r="C54" s="88">
        <v>200960146</v>
      </c>
      <c r="D54" s="88">
        <v>195671254</v>
      </c>
      <c r="E54" s="88">
        <v>192899603</v>
      </c>
      <c r="F54" s="88">
        <v>183351821</v>
      </c>
      <c r="G54" s="88">
        <v>194501470</v>
      </c>
      <c r="H54" s="88">
        <v>189757064</v>
      </c>
      <c r="I54" s="3">
        <v>179906973</v>
      </c>
      <c r="J54" s="3">
        <v>190896165</v>
      </c>
      <c r="K54" s="3">
        <v>181733479</v>
      </c>
      <c r="L54" s="3">
        <v>193751023</v>
      </c>
      <c r="M54" s="3">
        <v>186515683</v>
      </c>
      <c r="N54" s="3">
        <v>190234135</v>
      </c>
      <c r="O54" s="3">
        <v>197906806</v>
      </c>
      <c r="P54" s="3">
        <v>194441464</v>
      </c>
      <c r="Q54" s="3">
        <v>185285050</v>
      </c>
      <c r="R54" s="3">
        <v>182229029</v>
      </c>
      <c r="S54" s="3">
        <v>178102469</v>
      </c>
      <c r="T54" s="3">
        <v>161951234</v>
      </c>
      <c r="U54" s="3">
        <v>157706221</v>
      </c>
      <c r="V54" s="3">
        <v>156438246</v>
      </c>
      <c r="W54" s="3">
        <v>145285927</v>
      </c>
      <c r="X54" s="3">
        <v>143302438</v>
      </c>
      <c r="Y54" s="3">
        <v>129422778</v>
      </c>
      <c r="Z54" s="4">
        <v>184997583</v>
      </c>
      <c r="AA54" s="4">
        <v>184997583</v>
      </c>
      <c r="AB54" s="4">
        <v>190896165</v>
      </c>
      <c r="AC54" s="4">
        <v>188943715</v>
      </c>
      <c r="AD54" s="4">
        <v>189757064</v>
      </c>
    </row>
    <row r="55" spans="1:30">
      <c r="A55" s="82" t="s">
        <v>416</v>
      </c>
      <c r="B55" s="82" t="str">
        <f t="shared" si="1"/>
        <v>068</v>
      </c>
      <c r="C55" s="88">
        <v>13490180</v>
      </c>
      <c r="D55" s="88">
        <v>12995921</v>
      </c>
      <c r="E55" s="88">
        <v>12966807</v>
      </c>
      <c r="F55" s="88">
        <v>12368239</v>
      </c>
      <c r="G55" s="88">
        <v>12682603</v>
      </c>
      <c r="H55" s="88">
        <v>12618395</v>
      </c>
      <c r="I55" s="3">
        <v>11772166</v>
      </c>
      <c r="J55" s="3">
        <v>11990604</v>
      </c>
      <c r="K55" s="3">
        <v>11569375</v>
      </c>
      <c r="L55" s="3">
        <v>11285895</v>
      </c>
      <c r="M55" s="3">
        <v>10846959</v>
      </c>
      <c r="N55" s="3">
        <v>10665601</v>
      </c>
      <c r="O55" s="3">
        <v>10968454</v>
      </c>
      <c r="P55" s="3">
        <v>11145317</v>
      </c>
      <c r="Q55" s="3">
        <v>10599510</v>
      </c>
      <c r="R55" s="3">
        <v>10510249</v>
      </c>
      <c r="S55" s="3">
        <v>9993012</v>
      </c>
      <c r="T55" s="3">
        <v>9318067</v>
      </c>
      <c r="U55" s="3">
        <v>11773066</v>
      </c>
      <c r="V55" s="3">
        <v>11441750</v>
      </c>
      <c r="W55" s="3">
        <v>10651955</v>
      </c>
      <c r="X55" s="3">
        <v>9643929</v>
      </c>
      <c r="Y55" s="3">
        <v>9205754</v>
      </c>
      <c r="Z55" s="4">
        <v>11842653</v>
      </c>
      <c r="AA55" s="4">
        <v>11842653</v>
      </c>
      <c r="AB55" s="4">
        <v>11990604</v>
      </c>
      <c r="AC55" s="4">
        <v>12514712</v>
      </c>
      <c r="AD55" s="4">
        <v>12618395</v>
      </c>
    </row>
    <row r="56" spans="1:30">
      <c r="A56" s="82" t="s">
        <v>452</v>
      </c>
      <c r="B56" s="89" t="s">
        <v>454</v>
      </c>
      <c r="C56" s="89"/>
      <c r="D56" s="78"/>
      <c r="E56" s="88"/>
      <c r="F56" s="78"/>
      <c r="G56" s="88"/>
      <c r="H56" s="88"/>
      <c r="I56" s="3"/>
      <c r="J56" s="3">
        <v>0</v>
      </c>
      <c r="K56" s="3">
        <v>0</v>
      </c>
      <c r="L56" s="3">
        <v>0</v>
      </c>
      <c r="M56" s="3">
        <v>0</v>
      </c>
      <c r="N56" s="3">
        <v>5471136</v>
      </c>
      <c r="O56" s="3">
        <v>5544605</v>
      </c>
      <c r="P56" s="3">
        <v>5843463</v>
      </c>
      <c r="Q56" s="3">
        <v>5337405</v>
      </c>
      <c r="R56" s="3">
        <v>5232463</v>
      </c>
      <c r="S56" s="3">
        <v>4952882</v>
      </c>
      <c r="T56" s="3">
        <v>5048977</v>
      </c>
      <c r="U56" s="3">
        <v>4559508</v>
      </c>
      <c r="V56" s="3">
        <v>4910177</v>
      </c>
      <c r="W56" s="3">
        <v>4416206</v>
      </c>
      <c r="X56" s="3">
        <v>3918717</v>
      </c>
      <c r="Y56" s="3">
        <v>3027290</v>
      </c>
      <c r="Z56" s="4">
        <v>0</v>
      </c>
      <c r="AA56" s="4"/>
      <c r="AB56" s="4"/>
      <c r="AC56" s="4"/>
      <c r="AD56" s="4"/>
    </row>
    <row r="57" spans="1:30">
      <c r="A57" s="82" t="s">
        <v>417</v>
      </c>
      <c r="B57" s="82" t="str">
        <f t="shared" si="1"/>
        <v>071</v>
      </c>
      <c r="C57" s="88">
        <v>58507785</v>
      </c>
      <c r="D57" s="88">
        <v>55083029</v>
      </c>
      <c r="E57" s="88">
        <v>54687476</v>
      </c>
      <c r="F57" s="88">
        <v>51873700</v>
      </c>
      <c r="G57" s="88">
        <v>56871685</v>
      </c>
      <c r="H57" s="88">
        <v>53259254</v>
      </c>
      <c r="I57" s="3">
        <v>51779265</v>
      </c>
      <c r="J57" s="3">
        <v>55778681</v>
      </c>
      <c r="K57" s="3">
        <v>51097648</v>
      </c>
      <c r="L57" s="3">
        <v>51278368</v>
      </c>
      <c r="M57" s="3">
        <v>46655718</v>
      </c>
      <c r="N57" s="3">
        <v>46577027</v>
      </c>
      <c r="O57" s="3">
        <v>47421046</v>
      </c>
      <c r="P57" s="3">
        <v>45233520</v>
      </c>
      <c r="Q57" s="3">
        <v>43579757</v>
      </c>
      <c r="R57" s="3">
        <v>40967673</v>
      </c>
      <c r="S57" s="3">
        <v>39277700</v>
      </c>
      <c r="T57" s="3">
        <v>38155794</v>
      </c>
      <c r="U57" s="3">
        <v>37758759</v>
      </c>
      <c r="V57" s="3">
        <v>36952738</v>
      </c>
      <c r="W57" s="3">
        <v>33914140</v>
      </c>
      <c r="X57" s="3">
        <v>31717586</v>
      </c>
      <c r="Y57" s="3">
        <v>28782394</v>
      </c>
      <c r="Z57" s="4">
        <v>51704161</v>
      </c>
      <c r="AA57" s="4">
        <v>51704161</v>
      </c>
      <c r="AB57" s="4">
        <v>55778681</v>
      </c>
      <c r="AC57" s="4">
        <v>52954132</v>
      </c>
      <c r="AD57" s="4">
        <v>53259254</v>
      </c>
    </row>
    <row r="58" spans="1:30">
      <c r="A58" s="82" t="s">
        <v>418</v>
      </c>
      <c r="B58" s="82" t="str">
        <f t="shared" si="1"/>
        <v>073</v>
      </c>
      <c r="C58" s="88">
        <v>12971017</v>
      </c>
      <c r="D58" s="88">
        <v>12141549</v>
      </c>
      <c r="E58" s="88">
        <v>12139474</v>
      </c>
      <c r="F58" s="88">
        <v>10914595</v>
      </c>
      <c r="G58" s="88">
        <v>13141868</v>
      </c>
      <c r="H58" s="88">
        <v>12290884</v>
      </c>
      <c r="I58" s="3">
        <v>11359749</v>
      </c>
      <c r="J58" s="3">
        <v>12332988</v>
      </c>
      <c r="K58" s="3">
        <v>11001061</v>
      </c>
      <c r="L58" s="3">
        <v>11170762</v>
      </c>
      <c r="M58" s="3">
        <v>8966602</v>
      </c>
      <c r="N58" s="3">
        <v>314291</v>
      </c>
      <c r="O58" s="3">
        <v>216535</v>
      </c>
      <c r="P58" s="3">
        <v>0</v>
      </c>
      <c r="Q58" s="3">
        <v>0</v>
      </c>
      <c r="R58" s="3">
        <v>0</v>
      </c>
      <c r="S58" s="3">
        <v>0</v>
      </c>
      <c r="T58" s="3">
        <v>0</v>
      </c>
      <c r="U58" s="3">
        <v>0</v>
      </c>
      <c r="V58" s="3">
        <v>0</v>
      </c>
      <c r="W58" s="3">
        <v>0</v>
      </c>
      <c r="X58" s="3">
        <v>0</v>
      </c>
      <c r="Y58" s="3">
        <v>0</v>
      </c>
      <c r="Z58" s="4">
        <v>11400964</v>
      </c>
      <c r="AA58" s="4">
        <v>11400964</v>
      </c>
      <c r="AB58" s="4">
        <v>12332988</v>
      </c>
      <c r="AC58" s="4">
        <v>12285581</v>
      </c>
      <c r="AD58" s="4">
        <v>12290884</v>
      </c>
    </row>
    <row r="59" spans="1:30">
      <c r="A59" s="82" t="s">
        <v>419</v>
      </c>
      <c r="B59" s="82" t="str">
        <f t="shared" si="1"/>
        <v>079</v>
      </c>
      <c r="C59" s="88">
        <v>29546148</v>
      </c>
      <c r="D59" s="88">
        <v>28096455</v>
      </c>
      <c r="E59" s="88">
        <v>28132859</v>
      </c>
      <c r="F59" s="88">
        <v>27765259</v>
      </c>
      <c r="G59" s="88">
        <v>28774876</v>
      </c>
      <c r="H59" s="88">
        <v>27856108</v>
      </c>
      <c r="I59" s="3">
        <v>25973254</v>
      </c>
      <c r="J59" s="3">
        <v>27005788</v>
      </c>
      <c r="K59" s="3">
        <v>26122726</v>
      </c>
      <c r="L59" s="3">
        <v>26143444</v>
      </c>
      <c r="M59" s="3">
        <v>25266476</v>
      </c>
      <c r="N59" s="3">
        <v>0</v>
      </c>
      <c r="O59" s="3">
        <v>0</v>
      </c>
      <c r="P59" s="3">
        <v>0</v>
      </c>
      <c r="Q59" s="3">
        <v>0</v>
      </c>
      <c r="R59" s="3">
        <v>0</v>
      </c>
      <c r="S59" s="3">
        <v>0</v>
      </c>
      <c r="T59" s="3">
        <v>0</v>
      </c>
      <c r="U59" s="3">
        <v>0</v>
      </c>
      <c r="V59" s="3">
        <v>0</v>
      </c>
      <c r="W59" s="3">
        <v>0</v>
      </c>
      <c r="X59" s="3">
        <v>0</v>
      </c>
      <c r="Y59" s="3">
        <v>0</v>
      </c>
      <c r="Z59" s="4">
        <v>26055775</v>
      </c>
      <c r="AA59" s="4">
        <v>26055775</v>
      </c>
      <c r="AB59" s="4">
        <v>27005788</v>
      </c>
      <c r="AC59" s="4">
        <v>28152113</v>
      </c>
      <c r="AD59" s="4">
        <v>27856108</v>
      </c>
    </row>
    <row r="60" spans="1:30">
      <c r="A60" s="82" t="s">
        <v>473</v>
      </c>
      <c r="B60" s="82" t="str">
        <f t="shared" si="1"/>
        <v>088</v>
      </c>
      <c r="E60" s="88"/>
      <c r="G60" s="88"/>
      <c r="H60" s="88"/>
      <c r="I60" s="3"/>
      <c r="J60" s="3">
        <v>0</v>
      </c>
      <c r="K60" s="3">
        <v>0</v>
      </c>
      <c r="L60" s="3">
        <v>0</v>
      </c>
      <c r="M60" s="3">
        <v>0</v>
      </c>
      <c r="N60" s="3">
        <v>0</v>
      </c>
      <c r="O60" s="3">
        <v>0</v>
      </c>
      <c r="P60" s="3">
        <v>0</v>
      </c>
      <c r="Q60" s="3">
        <v>0</v>
      </c>
      <c r="R60" s="3">
        <v>0</v>
      </c>
      <c r="S60" s="3">
        <v>0</v>
      </c>
      <c r="T60" s="3">
        <v>0</v>
      </c>
      <c r="U60" s="3">
        <v>0</v>
      </c>
      <c r="V60" s="3">
        <v>0</v>
      </c>
      <c r="W60" s="3">
        <v>0</v>
      </c>
      <c r="X60" s="3">
        <v>739888</v>
      </c>
      <c r="Y60" s="3">
        <v>647673</v>
      </c>
      <c r="Z60" s="4"/>
      <c r="AA60" s="4"/>
      <c r="AB60" s="4"/>
      <c r="AC60" s="4"/>
      <c r="AD60" s="4"/>
    </row>
    <row r="61" spans="1:30">
      <c r="A61" s="86" t="s">
        <v>420</v>
      </c>
      <c r="B61" s="82"/>
      <c r="C61" s="88">
        <f t="shared" ref="C61:I61" si="14">SUBTOTAL(9,C53:C59)</f>
        <v>315475276</v>
      </c>
      <c r="D61" s="88">
        <f t="shared" si="14"/>
        <v>303988208</v>
      </c>
      <c r="E61" s="88">
        <f t="shared" si="14"/>
        <v>300826219</v>
      </c>
      <c r="F61" s="88">
        <f>SUBTOTAL(9,F53:F59)</f>
        <v>286273614</v>
      </c>
      <c r="G61" s="88">
        <f t="shared" si="14"/>
        <v>305972502</v>
      </c>
      <c r="H61" s="88">
        <f t="shared" si="14"/>
        <v>295781705</v>
      </c>
      <c r="I61" s="20">
        <f t="shared" si="14"/>
        <v>280791407</v>
      </c>
      <c r="J61" s="20">
        <f t="shared" ref="J61:V61" si="15">SUBTOTAL(9,J53:J59)</f>
        <v>298004226</v>
      </c>
      <c r="K61" s="20">
        <f t="shared" si="15"/>
        <v>281524289</v>
      </c>
      <c r="L61" s="20">
        <f t="shared" si="15"/>
        <v>293629492</v>
      </c>
      <c r="M61" s="20">
        <f t="shared" si="15"/>
        <v>278251438</v>
      </c>
      <c r="N61" s="20">
        <f t="shared" si="15"/>
        <v>253262190</v>
      </c>
      <c r="O61" s="20">
        <f t="shared" si="15"/>
        <v>262057446</v>
      </c>
      <c r="P61" s="20">
        <f t="shared" si="15"/>
        <v>256663764</v>
      </c>
      <c r="Q61" s="20">
        <f t="shared" si="15"/>
        <v>244801722</v>
      </c>
      <c r="R61" s="20">
        <f t="shared" si="15"/>
        <v>238939414</v>
      </c>
      <c r="S61" s="20">
        <f t="shared" si="15"/>
        <v>232326063</v>
      </c>
      <c r="T61" s="20">
        <f t="shared" si="15"/>
        <v>214474072</v>
      </c>
      <c r="U61" s="20">
        <f t="shared" si="15"/>
        <v>212212857</v>
      </c>
      <c r="V61" s="20">
        <f t="shared" si="15"/>
        <v>210223149</v>
      </c>
      <c r="W61" s="20">
        <f>SUBTOTAL(9,W53:W60)</f>
        <v>194665104</v>
      </c>
      <c r="X61" s="20">
        <f>SUBTOTAL(9,X53:X60)</f>
        <v>189652809</v>
      </c>
      <c r="Y61" s="20">
        <f>SUBTOTAL(9,Y53:Y60)</f>
        <v>171390779</v>
      </c>
      <c r="Z61" s="16">
        <f t="shared" ref="Z61:AD61" si="16">SUBTOTAL(9,Z53:Z59)</f>
        <v>286001136</v>
      </c>
      <c r="AA61" s="16">
        <f t="shared" si="16"/>
        <v>286001136</v>
      </c>
      <c r="AB61" s="16">
        <f t="shared" si="16"/>
        <v>298004226</v>
      </c>
      <c r="AC61" s="16">
        <f t="shared" si="16"/>
        <v>294850253</v>
      </c>
      <c r="AD61" s="16">
        <f t="shared" si="16"/>
        <v>295781705</v>
      </c>
    </row>
    <row r="62" spans="1:30">
      <c r="A62" s="86" t="s">
        <v>421</v>
      </c>
      <c r="B62" s="82"/>
      <c r="C62" s="82"/>
      <c r="D62" s="78"/>
      <c r="E62" s="88"/>
      <c r="F62" s="78"/>
      <c r="G62" s="88"/>
      <c r="H62" s="88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</row>
    <row r="63" spans="1:30">
      <c r="A63" s="81" t="s">
        <v>453</v>
      </c>
      <c r="B63" s="89" t="s">
        <v>455</v>
      </c>
      <c r="E63" s="88"/>
      <c r="G63" s="88"/>
      <c r="H63" s="88"/>
      <c r="I63" s="3"/>
      <c r="J63" s="3">
        <v>0</v>
      </c>
      <c r="K63" s="3">
        <v>0</v>
      </c>
      <c r="L63" s="3">
        <v>0</v>
      </c>
      <c r="M63" s="3">
        <v>0</v>
      </c>
      <c r="N63" s="3">
        <v>18718036</v>
      </c>
      <c r="O63" s="3">
        <v>21708386</v>
      </c>
      <c r="P63" s="3">
        <v>22343946</v>
      </c>
      <c r="Q63" s="3">
        <v>18401731</v>
      </c>
      <c r="R63" s="3">
        <v>14641280</v>
      </c>
      <c r="S63" s="3">
        <v>11920230</v>
      </c>
      <c r="T63" s="3">
        <v>11120852</v>
      </c>
      <c r="U63" s="3">
        <v>12820621</v>
      </c>
      <c r="V63" s="3">
        <v>11410428</v>
      </c>
      <c r="W63" s="3">
        <v>14268980</v>
      </c>
      <c r="X63" s="3">
        <v>13449564</v>
      </c>
      <c r="Y63" s="3">
        <v>11428223</v>
      </c>
      <c r="Z63" s="4"/>
      <c r="AA63" s="4"/>
      <c r="AB63" s="4"/>
      <c r="AC63" s="4"/>
      <c r="AD63" s="4"/>
    </row>
    <row r="64" spans="1:30">
      <c r="A64" s="82" t="s">
        <v>422</v>
      </c>
      <c r="B64" s="82" t="str">
        <f t="shared" si="1"/>
        <v>051</v>
      </c>
      <c r="C64" s="88">
        <v>24135401</v>
      </c>
      <c r="D64" s="88">
        <v>23440278</v>
      </c>
      <c r="E64" s="88">
        <v>23432007</v>
      </c>
      <c r="F64" s="88">
        <v>23085651</v>
      </c>
      <c r="G64" s="88">
        <v>23728070</v>
      </c>
      <c r="H64" s="88">
        <v>23524286</v>
      </c>
      <c r="I64" s="3">
        <v>23036747</v>
      </c>
      <c r="J64" s="3">
        <v>23307450</v>
      </c>
      <c r="K64" s="3">
        <v>22656251</v>
      </c>
      <c r="L64" s="3">
        <v>22018820</v>
      </c>
      <c r="M64" s="3">
        <v>21760342</v>
      </c>
      <c r="N64" s="3">
        <v>23103572</v>
      </c>
      <c r="O64" s="3">
        <v>25681402</v>
      </c>
      <c r="P64" s="3">
        <v>26014663</v>
      </c>
      <c r="Q64" s="3">
        <v>25800947</v>
      </c>
      <c r="R64" s="3">
        <v>24348931</v>
      </c>
      <c r="S64" s="3">
        <v>23063012</v>
      </c>
      <c r="T64" s="3">
        <v>22160632</v>
      </c>
      <c r="U64" s="3">
        <v>24245404</v>
      </c>
      <c r="V64" s="3">
        <v>23880365</v>
      </c>
      <c r="W64" s="3">
        <v>19818436</v>
      </c>
      <c r="X64" s="3">
        <v>18640856</v>
      </c>
      <c r="Y64" s="3">
        <v>18019671</v>
      </c>
      <c r="Z64" s="4">
        <v>22909700</v>
      </c>
      <c r="AA64" s="4">
        <v>22909700</v>
      </c>
      <c r="AB64" s="4">
        <v>23307450</v>
      </c>
      <c r="AC64" s="4">
        <v>23181926</v>
      </c>
      <c r="AD64" s="4">
        <v>23524286</v>
      </c>
    </row>
    <row r="65" spans="1:30">
      <c r="A65" s="82" t="s">
        <v>423</v>
      </c>
      <c r="B65" s="82" t="str">
        <f t="shared" si="1"/>
        <v>052</v>
      </c>
      <c r="C65" s="88">
        <v>27908287</v>
      </c>
      <c r="D65" s="88">
        <v>27669124</v>
      </c>
      <c r="E65" s="88">
        <v>27612745</v>
      </c>
      <c r="F65" s="88">
        <v>26849179</v>
      </c>
      <c r="G65" s="88">
        <v>29914916</v>
      </c>
      <c r="H65" s="88">
        <v>27828497</v>
      </c>
      <c r="I65" s="3">
        <v>26577259</v>
      </c>
      <c r="J65" s="3">
        <v>28922907</v>
      </c>
      <c r="K65" s="3">
        <v>26791911</v>
      </c>
      <c r="L65" s="3">
        <v>25331520</v>
      </c>
      <c r="M65" s="3">
        <v>25989539</v>
      </c>
      <c r="N65" s="3">
        <v>27910295</v>
      </c>
      <c r="O65" s="3">
        <v>31451366</v>
      </c>
      <c r="P65" s="3">
        <v>31981357</v>
      </c>
      <c r="Q65" s="3">
        <v>33817927</v>
      </c>
      <c r="R65" s="3">
        <v>32421166</v>
      </c>
      <c r="S65" s="3">
        <v>28594092</v>
      </c>
      <c r="T65" s="3">
        <v>26493635</v>
      </c>
      <c r="U65" s="3">
        <v>27342292</v>
      </c>
      <c r="V65" s="3">
        <v>26036530</v>
      </c>
      <c r="W65" s="3">
        <v>27190450</v>
      </c>
      <c r="X65" s="3">
        <v>24843274</v>
      </c>
      <c r="Y65" s="3">
        <v>25071104</v>
      </c>
      <c r="Z65" s="4">
        <v>27091526</v>
      </c>
      <c r="AA65" s="4">
        <v>27091526</v>
      </c>
      <c r="AB65" s="4">
        <v>28922907</v>
      </c>
      <c r="AC65" s="4">
        <v>27678031</v>
      </c>
      <c r="AD65" s="4">
        <v>27828497</v>
      </c>
    </row>
    <row r="66" spans="1:30">
      <c r="A66" s="82" t="s">
        <v>473</v>
      </c>
      <c r="B66" s="89" t="s">
        <v>476</v>
      </c>
      <c r="C66" s="89"/>
      <c r="D66" s="78"/>
      <c r="E66" s="88"/>
      <c r="F66" s="78"/>
      <c r="G66" s="88"/>
      <c r="H66" s="88"/>
      <c r="I66" s="3"/>
      <c r="J66" s="3">
        <v>0</v>
      </c>
      <c r="K66" s="3">
        <v>0</v>
      </c>
      <c r="L66" s="3">
        <v>0</v>
      </c>
      <c r="M66" s="3">
        <v>0</v>
      </c>
      <c r="N66" s="3">
        <v>0</v>
      </c>
      <c r="O66" s="3">
        <v>0</v>
      </c>
      <c r="P66" s="3">
        <v>0</v>
      </c>
      <c r="Q66" s="3">
        <v>0</v>
      </c>
      <c r="R66" s="3">
        <v>0</v>
      </c>
      <c r="S66" s="3">
        <v>0</v>
      </c>
      <c r="T66" s="3">
        <v>0</v>
      </c>
      <c r="U66" s="3">
        <v>0</v>
      </c>
      <c r="V66" s="3">
        <v>0</v>
      </c>
      <c r="W66" s="3">
        <v>0</v>
      </c>
      <c r="X66" s="3">
        <v>2384150</v>
      </c>
      <c r="Y66" s="3">
        <v>1907503</v>
      </c>
      <c r="Z66" s="4"/>
      <c r="AA66" s="4"/>
      <c r="AB66" s="4"/>
      <c r="AC66" s="4"/>
      <c r="AD66" s="4"/>
    </row>
    <row r="67" spans="1:30">
      <c r="A67" s="86" t="s">
        <v>424</v>
      </c>
      <c r="B67" s="82"/>
      <c r="C67" s="88">
        <f t="shared" ref="C67:I67" si="17">SUBTOTAL(9,C63:C65)</f>
        <v>52043688</v>
      </c>
      <c r="D67" s="88">
        <f t="shared" si="17"/>
        <v>51109402</v>
      </c>
      <c r="E67" s="88">
        <f t="shared" si="17"/>
        <v>51044752</v>
      </c>
      <c r="F67" s="88">
        <f>SUBTOTAL(9,F63:F65)</f>
        <v>49934830</v>
      </c>
      <c r="G67" s="88">
        <f t="shared" si="17"/>
        <v>53642986</v>
      </c>
      <c r="H67" s="88">
        <f t="shared" si="17"/>
        <v>51352783</v>
      </c>
      <c r="I67" s="20">
        <f t="shared" si="17"/>
        <v>49614006</v>
      </c>
      <c r="J67" s="20">
        <f t="shared" ref="J67:V67" si="18">SUBTOTAL(9,J63:J65)</f>
        <v>52230357</v>
      </c>
      <c r="K67" s="20">
        <f t="shared" si="18"/>
        <v>49448162</v>
      </c>
      <c r="L67" s="20">
        <f t="shared" si="18"/>
        <v>47350340</v>
      </c>
      <c r="M67" s="20">
        <f t="shared" si="18"/>
        <v>47749881</v>
      </c>
      <c r="N67" s="20">
        <f t="shared" si="18"/>
        <v>69731903</v>
      </c>
      <c r="O67" s="20">
        <f t="shared" si="18"/>
        <v>78841154</v>
      </c>
      <c r="P67" s="20">
        <f t="shared" si="18"/>
        <v>80339966</v>
      </c>
      <c r="Q67" s="20">
        <f t="shared" si="18"/>
        <v>78020605</v>
      </c>
      <c r="R67" s="20">
        <f t="shared" si="18"/>
        <v>71411377</v>
      </c>
      <c r="S67" s="20">
        <f t="shared" si="18"/>
        <v>63577334</v>
      </c>
      <c r="T67" s="20">
        <f t="shared" si="18"/>
        <v>59775119</v>
      </c>
      <c r="U67" s="20">
        <f t="shared" si="18"/>
        <v>64408317</v>
      </c>
      <c r="V67" s="20">
        <f t="shared" si="18"/>
        <v>61327323</v>
      </c>
      <c r="W67" s="20">
        <f>SUBTOTAL(9,W63:W66)</f>
        <v>61277866</v>
      </c>
      <c r="X67" s="20">
        <f>SUBTOTAL(9,X63:X66)</f>
        <v>59317844</v>
      </c>
      <c r="Y67" s="20">
        <f>SUBTOTAL(9,Y63:Y66)</f>
        <v>56426501</v>
      </c>
      <c r="Z67" s="16">
        <f t="shared" ref="Z67:AD67" si="19">SUBTOTAL(9,Z63:Z65)</f>
        <v>50001226</v>
      </c>
      <c r="AA67" s="16">
        <f t="shared" si="19"/>
        <v>50001226</v>
      </c>
      <c r="AB67" s="16">
        <f t="shared" si="19"/>
        <v>52230357</v>
      </c>
      <c r="AC67" s="16">
        <f t="shared" si="19"/>
        <v>50859957</v>
      </c>
      <c r="AD67" s="16">
        <f t="shared" si="19"/>
        <v>51352783</v>
      </c>
    </row>
    <row r="68" spans="1:30">
      <c r="A68" s="86" t="s">
        <v>425</v>
      </c>
      <c r="B68" s="82"/>
      <c r="C68" s="82"/>
      <c r="D68" s="78"/>
      <c r="E68" s="88"/>
      <c r="F68" s="78"/>
      <c r="G68" s="88"/>
      <c r="H68" s="88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</row>
    <row r="69" spans="1:30">
      <c r="A69" s="82" t="s">
        <v>426</v>
      </c>
      <c r="B69" s="82" t="str">
        <f t="shared" si="1"/>
        <v>016</v>
      </c>
      <c r="C69" s="88">
        <v>7570640</v>
      </c>
      <c r="D69" s="88">
        <v>7463150</v>
      </c>
      <c r="E69" s="88">
        <v>7454237</v>
      </c>
      <c r="F69" s="88">
        <v>7335920</v>
      </c>
      <c r="G69" s="88">
        <v>7335923</v>
      </c>
      <c r="H69" s="88">
        <v>7335923</v>
      </c>
      <c r="I69" s="3">
        <v>7288075</v>
      </c>
      <c r="J69" s="3">
        <v>7288083</v>
      </c>
      <c r="K69" s="3">
        <v>7193593</v>
      </c>
      <c r="L69" s="3">
        <v>7093343</v>
      </c>
      <c r="M69" s="3">
        <v>6824003</v>
      </c>
      <c r="N69" s="3">
        <v>6797502</v>
      </c>
      <c r="O69" s="3">
        <v>6610087</v>
      </c>
      <c r="P69" s="3">
        <v>6643270</v>
      </c>
      <c r="Q69" s="3">
        <v>6628339</v>
      </c>
      <c r="R69" s="3">
        <v>6413384</v>
      </c>
      <c r="S69" s="3">
        <v>6194210</v>
      </c>
      <c r="T69" s="3">
        <v>6659253</v>
      </c>
      <c r="U69" s="3">
        <v>6562710</v>
      </c>
      <c r="V69" s="3">
        <v>6895760</v>
      </c>
      <c r="W69" s="3">
        <v>6713354</v>
      </c>
      <c r="X69" s="3">
        <v>6533677</v>
      </c>
      <c r="Y69" s="3">
        <v>6435095</v>
      </c>
      <c r="Z69" s="4">
        <v>7259183</v>
      </c>
      <c r="AA69" s="4">
        <v>7259183</v>
      </c>
      <c r="AB69" s="4">
        <v>7288083</v>
      </c>
      <c r="AC69" s="4">
        <v>7304912</v>
      </c>
      <c r="AD69" s="4">
        <v>7335923</v>
      </c>
    </row>
    <row r="70" spans="1:30">
      <c r="A70" s="82" t="s">
        <v>484</v>
      </c>
      <c r="B70" s="82" t="str">
        <f t="shared" si="1"/>
        <v>030</v>
      </c>
      <c r="E70" s="88"/>
      <c r="G70" s="88"/>
      <c r="H70" s="88"/>
      <c r="I70" s="3"/>
      <c r="J70" s="3">
        <v>0</v>
      </c>
      <c r="K70" s="3">
        <v>0</v>
      </c>
      <c r="L70" s="3">
        <v>0</v>
      </c>
      <c r="M70" s="3">
        <v>0</v>
      </c>
      <c r="N70" s="3">
        <v>0</v>
      </c>
      <c r="O70" s="3">
        <v>0</v>
      </c>
      <c r="P70" s="3">
        <v>0</v>
      </c>
      <c r="Q70" s="3">
        <v>0</v>
      </c>
      <c r="R70" s="3">
        <v>0</v>
      </c>
      <c r="S70" s="3">
        <v>0</v>
      </c>
      <c r="T70" s="3">
        <v>0</v>
      </c>
      <c r="U70" s="3">
        <v>0</v>
      </c>
      <c r="V70" s="3">
        <v>0</v>
      </c>
      <c r="W70" s="3">
        <v>0</v>
      </c>
      <c r="X70" s="3">
        <v>2433819</v>
      </c>
      <c r="Y70" s="3">
        <v>2214816</v>
      </c>
      <c r="Z70" s="4"/>
      <c r="AA70" s="4"/>
      <c r="AB70" s="4"/>
      <c r="AC70" s="4"/>
      <c r="AD70" s="4"/>
    </row>
    <row r="71" spans="1:30">
      <c r="A71" s="82" t="s">
        <v>398</v>
      </c>
      <c r="B71" s="82" t="str">
        <f t="shared" si="1"/>
        <v>031</v>
      </c>
      <c r="C71" s="88">
        <v>15255591</v>
      </c>
      <c r="D71" s="88">
        <v>14909179</v>
      </c>
      <c r="E71" s="88">
        <v>14911622</v>
      </c>
      <c r="F71" s="88">
        <v>12662071</v>
      </c>
      <c r="G71" s="88">
        <v>13558034</v>
      </c>
      <c r="H71" s="88">
        <v>13133536</v>
      </c>
      <c r="I71" s="3">
        <v>11840625</v>
      </c>
      <c r="J71" s="3">
        <v>14536595</v>
      </c>
      <c r="K71" s="3">
        <v>11579098</v>
      </c>
      <c r="L71" s="3">
        <v>11155647</v>
      </c>
      <c r="M71" s="3">
        <v>11821127</v>
      </c>
      <c r="N71" s="3">
        <v>13494972</v>
      </c>
      <c r="O71" s="3">
        <v>14877831</v>
      </c>
      <c r="P71" s="3">
        <v>14513426</v>
      </c>
      <c r="Q71" s="3">
        <v>14508179</v>
      </c>
      <c r="R71" s="3">
        <v>13063348</v>
      </c>
      <c r="S71" s="3">
        <v>11636998</v>
      </c>
      <c r="T71" s="3">
        <v>8971477</v>
      </c>
      <c r="U71" s="3">
        <v>8875940</v>
      </c>
      <c r="V71" s="3">
        <v>8640253</v>
      </c>
      <c r="W71" s="3">
        <v>8134963</v>
      </c>
      <c r="X71" s="3">
        <v>7735489</v>
      </c>
      <c r="Y71" s="3">
        <v>7128958</v>
      </c>
      <c r="Z71" s="4">
        <v>13320328</v>
      </c>
      <c r="AA71" s="4">
        <v>13320328</v>
      </c>
      <c r="AB71" s="4">
        <v>14536595</v>
      </c>
      <c r="AC71" s="4">
        <v>13010087</v>
      </c>
      <c r="AD71" s="4">
        <v>13133536</v>
      </c>
    </row>
    <row r="72" spans="1:30">
      <c r="A72" s="82" t="s">
        <v>427</v>
      </c>
      <c r="B72" s="82" t="str">
        <f t="shared" si="1"/>
        <v>035</v>
      </c>
      <c r="C72" s="88">
        <v>10973643</v>
      </c>
      <c r="D72" s="88">
        <v>10670696</v>
      </c>
      <c r="E72" s="88">
        <v>10636046</v>
      </c>
      <c r="F72" s="88">
        <v>9896563</v>
      </c>
      <c r="G72" s="88">
        <v>10900076</v>
      </c>
      <c r="H72" s="88">
        <v>10387092</v>
      </c>
      <c r="I72" s="3">
        <v>10000096</v>
      </c>
      <c r="J72" s="3">
        <v>10696977</v>
      </c>
      <c r="K72" s="3">
        <v>9297435</v>
      </c>
      <c r="L72" s="3">
        <v>9137984</v>
      </c>
      <c r="M72" s="3">
        <v>8867602</v>
      </c>
      <c r="N72" s="3">
        <v>10710814</v>
      </c>
      <c r="O72" s="3">
        <v>11318041</v>
      </c>
      <c r="P72" s="3">
        <v>11067964</v>
      </c>
      <c r="Q72" s="3">
        <v>10024375</v>
      </c>
      <c r="R72" s="3">
        <v>9054187</v>
      </c>
      <c r="S72" s="3">
        <v>8517934</v>
      </c>
      <c r="T72" s="3">
        <v>8122604</v>
      </c>
      <c r="U72" s="3">
        <v>8361554</v>
      </c>
      <c r="V72" s="3">
        <v>8200035</v>
      </c>
      <c r="W72" s="3">
        <v>8018382</v>
      </c>
      <c r="X72" s="3">
        <v>7702278</v>
      </c>
      <c r="Y72" s="3">
        <v>7372540</v>
      </c>
      <c r="Z72" s="4">
        <v>9931555</v>
      </c>
      <c r="AA72" s="4">
        <v>9931555</v>
      </c>
      <c r="AB72" s="4">
        <v>10696977</v>
      </c>
      <c r="AC72" s="4">
        <v>10296221</v>
      </c>
      <c r="AD72" s="4">
        <v>10387092</v>
      </c>
    </row>
    <row r="73" spans="1:30">
      <c r="A73" s="82" t="s">
        <v>428</v>
      </c>
      <c r="B73" s="82" t="str">
        <f t="shared" si="1"/>
        <v>036</v>
      </c>
      <c r="C73" s="88">
        <v>820729</v>
      </c>
      <c r="D73" s="88">
        <v>754387</v>
      </c>
      <c r="E73" s="88">
        <v>704669</v>
      </c>
      <c r="F73" s="88">
        <v>633700</v>
      </c>
      <c r="G73" s="88">
        <v>690133</v>
      </c>
      <c r="H73" s="88">
        <v>690133</v>
      </c>
      <c r="I73" s="3">
        <v>701298</v>
      </c>
      <c r="J73" s="3">
        <v>652841</v>
      </c>
      <c r="K73" s="3">
        <v>674420</v>
      </c>
      <c r="L73" s="3">
        <v>637453</v>
      </c>
      <c r="M73" s="3">
        <v>650089</v>
      </c>
      <c r="N73" s="3">
        <v>707150</v>
      </c>
      <c r="O73" s="3">
        <v>716084</v>
      </c>
      <c r="P73" s="3">
        <v>690597</v>
      </c>
      <c r="Q73" s="3">
        <v>645829</v>
      </c>
      <c r="R73" s="3">
        <v>659604</v>
      </c>
      <c r="S73" s="3">
        <v>624482</v>
      </c>
      <c r="T73" s="3">
        <v>614182</v>
      </c>
      <c r="U73" s="3">
        <v>637791</v>
      </c>
      <c r="V73" s="3">
        <v>624850</v>
      </c>
      <c r="W73" s="3">
        <v>599159</v>
      </c>
      <c r="X73" s="3">
        <v>482476</v>
      </c>
      <c r="Y73" s="3">
        <v>509086</v>
      </c>
      <c r="Z73" s="4">
        <v>646007</v>
      </c>
      <c r="AA73" s="4">
        <v>646007</v>
      </c>
      <c r="AB73" s="4">
        <v>652841</v>
      </c>
      <c r="AC73" s="4">
        <v>683964</v>
      </c>
      <c r="AD73" s="4">
        <v>690133</v>
      </c>
    </row>
    <row r="74" spans="1:30">
      <c r="A74" s="82" t="s">
        <v>429</v>
      </c>
      <c r="B74" s="82" t="str">
        <f t="shared" si="1"/>
        <v>038</v>
      </c>
      <c r="C74" s="88">
        <v>6366067</v>
      </c>
      <c r="D74" s="88">
        <v>6255389</v>
      </c>
      <c r="E74" s="88">
        <v>6243518</v>
      </c>
      <c r="F74" s="88">
        <v>5799580</v>
      </c>
      <c r="G74" s="88">
        <v>6473221</v>
      </c>
      <c r="H74" s="88">
        <v>6407012</v>
      </c>
      <c r="I74" s="3">
        <v>5561417</v>
      </c>
      <c r="J74" s="3">
        <v>6299628</v>
      </c>
      <c r="K74" s="3">
        <v>5151327</v>
      </c>
      <c r="L74" s="3">
        <v>5227106</v>
      </c>
      <c r="M74" s="3">
        <v>5824425</v>
      </c>
      <c r="N74" s="3">
        <v>6585966</v>
      </c>
      <c r="O74" s="3">
        <v>6334577</v>
      </c>
      <c r="P74" s="3">
        <v>7240811</v>
      </c>
      <c r="Q74" s="3">
        <v>6335631</v>
      </c>
      <c r="R74" s="3">
        <v>5978804</v>
      </c>
      <c r="S74" s="3">
        <v>5159649</v>
      </c>
      <c r="T74" s="3">
        <v>5346547</v>
      </c>
      <c r="U74" s="3">
        <v>5327335</v>
      </c>
      <c r="V74" s="3">
        <v>5566963</v>
      </c>
      <c r="W74" s="3">
        <v>4705286</v>
      </c>
      <c r="X74" s="3">
        <v>3903704</v>
      </c>
      <c r="Y74" s="3">
        <v>3555770</v>
      </c>
      <c r="Z74" s="4">
        <v>6230225</v>
      </c>
      <c r="AA74" s="4">
        <v>6230225</v>
      </c>
      <c r="AB74" s="4">
        <v>6299628</v>
      </c>
      <c r="AC74" s="4">
        <v>6371623</v>
      </c>
      <c r="AD74" s="4">
        <v>6407012</v>
      </c>
    </row>
    <row r="75" spans="1:30">
      <c r="A75" s="82" t="s">
        <v>430</v>
      </c>
      <c r="B75" s="82" t="str">
        <f t="shared" si="1"/>
        <v>039</v>
      </c>
      <c r="C75" s="88">
        <v>1527648</v>
      </c>
      <c r="D75" s="88">
        <v>1534778</v>
      </c>
      <c r="E75" s="88">
        <v>1531090</v>
      </c>
      <c r="F75" s="88">
        <v>1382453</v>
      </c>
      <c r="G75" s="88">
        <v>1538270</v>
      </c>
      <c r="H75" s="88">
        <v>1538270</v>
      </c>
      <c r="I75" s="3">
        <v>1326420</v>
      </c>
      <c r="J75" s="3">
        <v>1521267</v>
      </c>
      <c r="K75" s="3">
        <v>1414313</v>
      </c>
      <c r="L75" s="3">
        <v>1459701</v>
      </c>
      <c r="M75" s="3">
        <v>1434863</v>
      </c>
      <c r="N75" s="3">
        <v>1615648</v>
      </c>
      <c r="O75" s="3">
        <v>1690020</v>
      </c>
      <c r="P75" s="3">
        <v>1120470</v>
      </c>
      <c r="Q75" s="3">
        <v>1094120</v>
      </c>
      <c r="R75" s="3">
        <v>1120128</v>
      </c>
      <c r="S75" s="3">
        <v>1195230</v>
      </c>
      <c r="T75" s="3">
        <v>1217717</v>
      </c>
      <c r="U75" s="3">
        <v>1207987</v>
      </c>
      <c r="V75" s="3">
        <v>1173850</v>
      </c>
      <c r="W75" s="3">
        <v>1131293</v>
      </c>
      <c r="X75" s="3">
        <v>1047865</v>
      </c>
      <c r="Y75" s="3">
        <v>849480</v>
      </c>
      <c r="Z75" s="4">
        <v>1506522</v>
      </c>
      <c r="AA75" s="4">
        <v>1506522</v>
      </c>
      <c r="AB75" s="4">
        <v>1521267</v>
      </c>
      <c r="AC75" s="4">
        <v>1520906</v>
      </c>
      <c r="AD75" s="4">
        <v>1538270</v>
      </c>
    </row>
    <row r="76" spans="1:30">
      <c r="A76" s="82" t="s">
        <v>431</v>
      </c>
      <c r="B76" s="82" t="str">
        <f t="shared" si="1"/>
        <v>040</v>
      </c>
      <c r="C76" s="88">
        <v>8128830</v>
      </c>
      <c r="D76" s="88">
        <v>7856391</v>
      </c>
      <c r="E76" s="88">
        <v>7834290</v>
      </c>
      <c r="F76" s="88">
        <v>7538750</v>
      </c>
      <c r="G76" s="88">
        <v>8789904</v>
      </c>
      <c r="H76" s="88">
        <v>7642318</v>
      </c>
      <c r="I76" s="3">
        <v>7513844</v>
      </c>
      <c r="J76" s="3">
        <v>8871475</v>
      </c>
      <c r="K76" s="3">
        <v>7394483</v>
      </c>
      <c r="L76" s="3">
        <v>8055447</v>
      </c>
      <c r="M76" s="3">
        <v>7594184</v>
      </c>
      <c r="N76" s="3">
        <v>7650965</v>
      </c>
      <c r="O76" s="3">
        <v>7566462</v>
      </c>
      <c r="P76" s="3">
        <v>7404160</v>
      </c>
      <c r="Q76" s="3">
        <v>6346673</v>
      </c>
      <c r="R76" s="3">
        <v>5483597</v>
      </c>
      <c r="S76" s="3">
        <v>6529961</v>
      </c>
      <c r="T76" s="3">
        <v>5863259</v>
      </c>
      <c r="U76" s="3">
        <v>4839425</v>
      </c>
      <c r="V76" s="3">
        <v>4185587</v>
      </c>
      <c r="W76" s="3">
        <v>3750494</v>
      </c>
      <c r="X76" s="3">
        <v>3067388</v>
      </c>
      <c r="Y76" s="3">
        <v>2500961</v>
      </c>
      <c r="Z76" s="4">
        <v>7481627</v>
      </c>
      <c r="AA76" s="4">
        <v>7481627</v>
      </c>
      <c r="AB76" s="4">
        <v>8871475</v>
      </c>
      <c r="AC76" s="4">
        <v>7600210</v>
      </c>
      <c r="AD76" s="4">
        <v>7642318</v>
      </c>
    </row>
    <row r="77" spans="1:30">
      <c r="A77" s="82" t="s">
        <v>473</v>
      </c>
      <c r="B77" s="82" t="str">
        <f t="shared" si="1"/>
        <v>088</v>
      </c>
      <c r="E77" s="88"/>
      <c r="G77" s="88"/>
      <c r="H77" s="88"/>
      <c r="I77" s="3"/>
      <c r="J77" s="3">
        <v>0</v>
      </c>
      <c r="K77" s="3">
        <v>0</v>
      </c>
      <c r="L77" s="3">
        <v>0</v>
      </c>
      <c r="M77" s="3">
        <v>0</v>
      </c>
      <c r="N77" s="3">
        <v>0</v>
      </c>
      <c r="O77" s="3">
        <v>0</v>
      </c>
      <c r="P77" s="3">
        <v>0</v>
      </c>
      <c r="Q77" s="3">
        <v>0</v>
      </c>
      <c r="R77" s="3">
        <v>0</v>
      </c>
      <c r="S77" s="3">
        <v>0</v>
      </c>
      <c r="T77" s="3">
        <v>0</v>
      </c>
      <c r="U77" s="3">
        <v>0</v>
      </c>
      <c r="V77" s="3">
        <v>0</v>
      </c>
      <c r="W77" s="3">
        <v>0</v>
      </c>
      <c r="X77" s="3">
        <v>685589</v>
      </c>
      <c r="Y77" s="3">
        <v>660961</v>
      </c>
      <c r="Z77" s="4"/>
      <c r="AA77" s="4"/>
      <c r="AB77" s="4"/>
      <c r="AC77" s="4"/>
      <c r="AD77" s="4"/>
    </row>
    <row r="78" spans="1:30">
      <c r="A78" s="86" t="s">
        <v>432</v>
      </c>
      <c r="B78" s="82"/>
      <c r="C78" s="88">
        <f t="shared" ref="C78:I78" si="20">SUBTOTAL(9,C69:C76)</f>
        <v>50643148</v>
      </c>
      <c r="D78" s="88">
        <f t="shared" si="20"/>
        <v>49443970</v>
      </c>
      <c r="E78" s="88">
        <f t="shared" si="20"/>
        <v>49315472</v>
      </c>
      <c r="F78" s="88">
        <f>SUBTOTAL(9,F69:F76)</f>
        <v>45249037</v>
      </c>
      <c r="G78" s="88">
        <f t="shared" si="20"/>
        <v>49285561</v>
      </c>
      <c r="H78" s="88">
        <f t="shared" si="20"/>
        <v>47134284</v>
      </c>
      <c r="I78" s="20">
        <f t="shared" si="20"/>
        <v>44231775</v>
      </c>
      <c r="J78" s="20">
        <f t="shared" ref="J78:V78" si="21">SUBTOTAL(9,J69:J76)</f>
        <v>49866866</v>
      </c>
      <c r="K78" s="20">
        <f t="shared" si="21"/>
        <v>42704669</v>
      </c>
      <c r="L78" s="20">
        <f t="shared" si="21"/>
        <v>42766681</v>
      </c>
      <c r="M78" s="20">
        <f t="shared" si="21"/>
        <v>43016293</v>
      </c>
      <c r="N78" s="20">
        <f t="shared" si="21"/>
        <v>47563017</v>
      </c>
      <c r="O78" s="20">
        <f t="shared" si="21"/>
        <v>49113102</v>
      </c>
      <c r="P78" s="20">
        <f t="shared" si="21"/>
        <v>48680698</v>
      </c>
      <c r="Q78" s="20">
        <f t="shared" si="21"/>
        <v>45583146</v>
      </c>
      <c r="R78" s="20">
        <f t="shared" si="21"/>
        <v>41773052</v>
      </c>
      <c r="S78" s="20">
        <f t="shared" si="21"/>
        <v>39858464</v>
      </c>
      <c r="T78" s="20">
        <f t="shared" si="21"/>
        <v>36795039</v>
      </c>
      <c r="U78" s="20">
        <f t="shared" si="21"/>
        <v>35812742</v>
      </c>
      <c r="V78" s="20">
        <f t="shared" si="21"/>
        <v>35287298</v>
      </c>
      <c r="W78" s="20">
        <f>SUBTOTAL(9,W69:W77)</f>
        <v>33052931</v>
      </c>
      <c r="X78" s="20">
        <f>SUBTOTAL(9,X69:X77)</f>
        <v>33592285</v>
      </c>
      <c r="Y78" s="20">
        <f>SUBTOTAL(9,Y69:Y77)</f>
        <v>31227667</v>
      </c>
      <c r="Z78" s="16">
        <f t="shared" ref="Z78:AD78" si="22">SUBTOTAL(9,Z69:Z76)</f>
        <v>46375447</v>
      </c>
      <c r="AA78" s="16">
        <f t="shared" si="22"/>
        <v>46375447</v>
      </c>
      <c r="AB78" s="16">
        <f t="shared" si="22"/>
        <v>49866866</v>
      </c>
      <c r="AC78" s="16">
        <f t="shared" si="22"/>
        <v>46787923</v>
      </c>
      <c r="AD78" s="16">
        <f t="shared" si="22"/>
        <v>47134284</v>
      </c>
    </row>
    <row r="79" spans="1:30">
      <c r="A79" s="86" t="s">
        <v>433</v>
      </c>
      <c r="B79" s="82"/>
      <c r="C79" s="82"/>
      <c r="D79" s="78"/>
      <c r="E79" s="88">
        <v>0</v>
      </c>
      <c r="F79" s="78"/>
      <c r="G79" s="88">
        <v>0</v>
      </c>
      <c r="H79" s="88">
        <v>0</v>
      </c>
      <c r="I79" s="3">
        <v>0</v>
      </c>
      <c r="J79" s="3"/>
      <c r="K79" s="3"/>
      <c r="L79" s="3"/>
      <c r="M79" s="3"/>
      <c r="N79" s="3"/>
      <c r="O79" s="3"/>
      <c r="P79" s="3"/>
      <c r="Q79" s="3"/>
      <c r="S79" s="3"/>
      <c r="T79" s="3"/>
      <c r="U79" s="3"/>
      <c r="V79" s="3"/>
      <c r="W79" s="3"/>
      <c r="X79" s="3"/>
      <c r="Y79" s="3"/>
    </row>
    <row r="80" spans="1:30">
      <c r="A80" s="82" t="s">
        <v>408</v>
      </c>
      <c r="B80" s="82" t="str">
        <f t="shared" ref="B80:B82" si="23">"0"&amp;LEFT(A80,FIND(" ",A80)-1)</f>
        <v>087</v>
      </c>
      <c r="C80" s="88">
        <v>7500000</v>
      </c>
      <c r="D80" s="88">
        <v>-1200000</v>
      </c>
      <c r="E80" s="88">
        <v>-1200000</v>
      </c>
      <c r="F80" s="88">
        <v>2000</v>
      </c>
      <c r="G80" s="88">
        <v>-1190106</v>
      </c>
      <c r="H80" s="88">
        <v>-1200000</v>
      </c>
      <c r="I80" s="3">
        <v>86923</v>
      </c>
      <c r="J80" s="3">
        <v>-500021</v>
      </c>
      <c r="K80" s="3">
        <v>83866</v>
      </c>
      <c r="L80" s="3">
        <v>103813</v>
      </c>
      <c r="M80" s="3">
        <v>85310</v>
      </c>
      <c r="N80" s="3">
        <v>1027489</v>
      </c>
      <c r="O80" s="3">
        <v>3988686</v>
      </c>
      <c r="P80" s="3">
        <v>0</v>
      </c>
      <c r="Q80" s="3">
        <v>0</v>
      </c>
      <c r="R80" s="3">
        <v>50177</v>
      </c>
      <c r="S80" s="3">
        <v>7642693</v>
      </c>
      <c r="T80" s="3">
        <v>6291190</v>
      </c>
      <c r="U80" s="3">
        <v>5504194</v>
      </c>
      <c r="V80" s="3">
        <v>3250822</v>
      </c>
      <c r="W80" s="3">
        <v>3485451</v>
      </c>
      <c r="X80" s="3">
        <v>3149339</v>
      </c>
      <c r="Y80" s="3">
        <v>2911710</v>
      </c>
      <c r="Z80" s="4">
        <v>-600000</v>
      </c>
      <c r="AA80" s="4">
        <v>-600000</v>
      </c>
      <c r="AB80" s="4">
        <v>-500021</v>
      </c>
      <c r="AC80" s="4">
        <v>0</v>
      </c>
      <c r="AD80" s="4">
        <v>-1200000</v>
      </c>
    </row>
    <row r="81" spans="1:30">
      <c r="A81" s="82" t="s">
        <v>473</v>
      </c>
      <c r="B81" s="82" t="str">
        <f t="shared" ref="B81" si="24">"0"&amp;LEFT(A81,FIND(" ",A81)-1)</f>
        <v>088</v>
      </c>
      <c r="E81" s="88"/>
      <c r="G81" s="88"/>
      <c r="H81" s="88"/>
      <c r="I81" s="3"/>
      <c r="J81" s="3">
        <v>0</v>
      </c>
      <c r="K81" s="3">
        <v>0</v>
      </c>
      <c r="L81" s="3">
        <v>0</v>
      </c>
      <c r="M81" s="3">
        <v>0</v>
      </c>
      <c r="N81" s="3">
        <v>0</v>
      </c>
      <c r="O81" s="3">
        <v>0</v>
      </c>
      <c r="P81" s="3">
        <v>0</v>
      </c>
      <c r="Q81" s="3">
        <v>0</v>
      </c>
      <c r="R81" s="3">
        <v>0</v>
      </c>
      <c r="S81" s="3">
        <v>0</v>
      </c>
      <c r="T81" s="3">
        <v>0</v>
      </c>
      <c r="U81" s="3">
        <v>0</v>
      </c>
      <c r="V81" s="3">
        <v>0</v>
      </c>
      <c r="W81" s="3">
        <v>0</v>
      </c>
      <c r="X81" s="3">
        <v>30000</v>
      </c>
      <c r="Y81" s="3">
        <v>20000</v>
      </c>
      <c r="Z81" s="4"/>
      <c r="AA81" s="4"/>
      <c r="AB81" s="4"/>
      <c r="AC81" s="4"/>
      <c r="AD81" s="4"/>
    </row>
    <row r="82" spans="1:30">
      <c r="A82" s="82" t="s">
        <v>434</v>
      </c>
      <c r="B82" s="82" t="str">
        <f t="shared" si="23"/>
        <v>089</v>
      </c>
      <c r="C82" s="88">
        <v>357268679</v>
      </c>
      <c r="D82" s="88">
        <v>339726376</v>
      </c>
      <c r="E82" s="88">
        <v>339449238</v>
      </c>
      <c r="F82" s="88">
        <v>308333918</v>
      </c>
      <c r="G82" s="88">
        <v>315912146</v>
      </c>
      <c r="H82" s="88">
        <v>315397826</v>
      </c>
      <c r="I82" s="3">
        <v>287626378</v>
      </c>
      <c r="J82" s="3">
        <v>301115381</v>
      </c>
      <c r="K82" s="3">
        <v>279510371</v>
      </c>
      <c r="L82" s="3">
        <v>261443520</v>
      </c>
      <c r="M82" s="3">
        <v>235233115</v>
      </c>
      <c r="N82" s="3">
        <v>202883174</v>
      </c>
      <c r="O82" s="3">
        <v>201150018</v>
      </c>
      <c r="P82" s="3">
        <v>198202384</v>
      </c>
      <c r="Q82" s="3">
        <v>186412018</v>
      </c>
      <c r="R82" s="3">
        <v>166549065</v>
      </c>
      <c r="S82" s="3">
        <v>165972327</v>
      </c>
      <c r="T82" s="3">
        <v>140314137</v>
      </c>
      <c r="U82" s="3">
        <v>137101058</v>
      </c>
      <c r="V82" s="3">
        <v>114364235</v>
      </c>
      <c r="W82" s="3">
        <v>117092188</v>
      </c>
      <c r="X82" s="3">
        <v>102855743</v>
      </c>
      <c r="Y82" s="3">
        <v>93568841</v>
      </c>
      <c r="Z82" s="4">
        <v>298734321</v>
      </c>
      <c r="AA82" s="4">
        <v>298734321</v>
      </c>
      <c r="AB82" s="4">
        <v>301115381</v>
      </c>
      <c r="AC82" s="4">
        <v>314418476</v>
      </c>
      <c r="AD82" s="4">
        <v>315397826</v>
      </c>
    </row>
    <row r="83" spans="1:30">
      <c r="A83" s="86" t="s">
        <v>435</v>
      </c>
      <c r="B83" s="86"/>
      <c r="C83" s="88">
        <f t="shared" ref="C83" si="25">SUBTOTAL(9,C80:C82)</f>
        <v>364768679</v>
      </c>
      <c r="D83" s="88">
        <f t="shared" ref="D83" si="26">SUBTOTAL(9,D80:D82)</f>
        <v>338526376</v>
      </c>
      <c r="E83" s="88">
        <f t="shared" ref="E83:I83" si="27">SUBTOTAL(9,E80:E82)</f>
        <v>338249238</v>
      </c>
      <c r="F83" s="88">
        <f t="shared" ref="F83" si="28">SUBTOTAL(9,F80:F82)</f>
        <v>308335918</v>
      </c>
      <c r="G83" s="88">
        <f t="shared" si="27"/>
        <v>314722040</v>
      </c>
      <c r="H83" s="88">
        <f t="shared" si="27"/>
        <v>314197826</v>
      </c>
      <c r="I83" s="20">
        <f t="shared" si="27"/>
        <v>287713301</v>
      </c>
      <c r="J83" s="20">
        <f t="shared" ref="J83:Y83" si="29">SUBTOTAL(9,J80:J82)</f>
        <v>300615360</v>
      </c>
      <c r="K83" s="20">
        <f t="shared" si="29"/>
        <v>279594237</v>
      </c>
      <c r="L83" s="20">
        <f t="shared" si="29"/>
        <v>261547333</v>
      </c>
      <c r="M83" s="20">
        <f t="shared" si="29"/>
        <v>235318425</v>
      </c>
      <c r="N83" s="20">
        <f t="shared" si="29"/>
        <v>203910663</v>
      </c>
      <c r="O83" s="20">
        <f t="shared" si="29"/>
        <v>205138704</v>
      </c>
      <c r="P83" s="20">
        <f t="shared" si="29"/>
        <v>198202384</v>
      </c>
      <c r="Q83" s="20">
        <f t="shared" si="29"/>
        <v>186412018</v>
      </c>
      <c r="R83" s="20">
        <f t="shared" si="29"/>
        <v>166599242</v>
      </c>
      <c r="S83" s="20">
        <f t="shared" si="29"/>
        <v>173615020</v>
      </c>
      <c r="T83" s="20">
        <f t="shared" si="29"/>
        <v>146605327</v>
      </c>
      <c r="U83" s="20">
        <f t="shared" si="29"/>
        <v>142605252</v>
      </c>
      <c r="V83" s="20">
        <f t="shared" si="29"/>
        <v>117615057</v>
      </c>
      <c r="W83" s="20">
        <f t="shared" si="29"/>
        <v>120577639</v>
      </c>
      <c r="X83" s="20">
        <f t="shared" si="29"/>
        <v>106035082</v>
      </c>
      <c r="Y83" s="20">
        <f t="shared" si="29"/>
        <v>96500551</v>
      </c>
      <c r="Z83" s="16">
        <f t="shared" ref="Z83:AD83" si="30">SUBTOTAL(9,Z80:Z82)</f>
        <v>298134321</v>
      </c>
      <c r="AA83" s="16">
        <f t="shared" si="30"/>
        <v>298134321</v>
      </c>
      <c r="AB83" s="16">
        <f t="shared" si="30"/>
        <v>300615360</v>
      </c>
      <c r="AC83" s="16">
        <f t="shared" si="30"/>
        <v>314418476</v>
      </c>
      <c r="AD83" s="16">
        <f t="shared" si="30"/>
        <v>314197826</v>
      </c>
    </row>
    <row r="84" spans="1:30">
      <c r="A84" s="86" t="s">
        <v>436</v>
      </c>
      <c r="B84" s="86"/>
      <c r="C84" s="88">
        <f t="shared" ref="C84" si="31">SUBTOTAL(9,C7:C82)</f>
        <v>1477872999</v>
      </c>
      <c r="D84" s="88">
        <f t="shared" ref="D84" si="32">SUBTOTAL(9,D7:D82)</f>
        <v>1409976323</v>
      </c>
      <c r="E84" s="88">
        <f t="shared" ref="E84:I84" si="33">SUBTOTAL(9,E7:E82)</f>
        <v>1404742884</v>
      </c>
      <c r="F84" s="88">
        <f t="shared" ref="F84" si="34">SUBTOTAL(9,F7:F82)</f>
        <v>1339990881</v>
      </c>
      <c r="G84" s="88">
        <f t="shared" si="33"/>
        <v>1402822240</v>
      </c>
      <c r="H84" s="88">
        <f t="shared" si="33"/>
        <v>1365385333</v>
      </c>
      <c r="I84" s="20">
        <f t="shared" si="33"/>
        <v>1292407590</v>
      </c>
      <c r="J84" s="20">
        <f t="shared" ref="J84:Y84" si="35">SUBTOTAL(9,J7:J82)</f>
        <v>1360468535</v>
      </c>
      <c r="K84" s="20">
        <f t="shared" si="35"/>
        <v>1269322733</v>
      </c>
      <c r="L84" s="20">
        <f t="shared" si="35"/>
        <v>1242275611</v>
      </c>
      <c r="M84" s="20">
        <f t="shared" si="35"/>
        <v>1188325666</v>
      </c>
      <c r="N84" s="20">
        <f t="shared" si="35"/>
        <v>1161435687</v>
      </c>
      <c r="O84" s="20">
        <f t="shared" si="35"/>
        <v>1208984971</v>
      </c>
      <c r="P84" s="20">
        <f t="shared" si="35"/>
        <v>1200971842</v>
      </c>
      <c r="Q84" s="20">
        <f t="shared" si="35"/>
        <v>1144913585</v>
      </c>
      <c r="R84" s="20">
        <f t="shared" si="35"/>
        <v>1067132961</v>
      </c>
      <c r="S84" s="20">
        <f t="shared" si="35"/>
        <v>1005416959</v>
      </c>
      <c r="T84" s="20">
        <f t="shared" si="35"/>
        <v>933467219</v>
      </c>
      <c r="U84" s="20">
        <f t="shared" si="35"/>
        <v>912593666</v>
      </c>
      <c r="V84" s="20">
        <f t="shared" si="35"/>
        <v>854951083</v>
      </c>
      <c r="W84" s="20">
        <f t="shared" si="35"/>
        <v>809550927</v>
      </c>
      <c r="X84" s="20">
        <f t="shared" si="35"/>
        <v>761722912</v>
      </c>
      <c r="Y84" s="20">
        <f t="shared" si="35"/>
        <v>693847096</v>
      </c>
      <c r="Z84" s="16">
        <f t="shared" ref="Z84:AD84" si="36">SUBTOTAL(9,Z7:Z82)</f>
        <v>1309401305</v>
      </c>
      <c r="AA84" s="16">
        <f t="shared" si="36"/>
        <v>1309401305</v>
      </c>
      <c r="AB84" s="16">
        <f t="shared" si="36"/>
        <v>1360468535</v>
      </c>
      <c r="AC84" s="16">
        <f t="shared" si="36"/>
        <v>1361286419</v>
      </c>
      <c r="AD84" s="16">
        <f t="shared" si="36"/>
        <v>1365385333</v>
      </c>
    </row>
    <row r="85" spans="1:30">
      <c r="P85" s="4"/>
      <c r="Q85" s="4"/>
      <c r="R85" s="4"/>
      <c r="U85" s="4"/>
      <c r="V85" s="4"/>
      <c r="Z85" s="1"/>
      <c r="AA85" s="1"/>
      <c r="AB85" s="1"/>
    </row>
    <row r="86" spans="1:30">
      <c r="E86" s="3"/>
      <c r="F86" s="3"/>
      <c r="H86" s="3"/>
      <c r="Q86" s="4"/>
      <c r="R86" s="4"/>
      <c r="V86" s="4"/>
      <c r="X86" s="4"/>
    </row>
    <row r="87" spans="1:30">
      <c r="K87" s="4"/>
      <c r="Q87" s="4"/>
      <c r="V87" s="4"/>
      <c r="X87" s="4"/>
      <c r="AA87" s="4"/>
      <c r="AB87" s="4"/>
      <c r="AC87" s="4"/>
    </row>
    <row r="88" spans="1:30">
      <c r="Q88" s="4"/>
      <c r="V88" s="4"/>
    </row>
    <row r="89" spans="1:30">
      <c r="Q89" s="4"/>
      <c r="V89" s="4"/>
    </row>
    <row r="90" spans="1:30">
      <c r="Q90" s="4"/>
      <c r="V90" s="4"/>
    </row>
    <row r="91" spans="1:30">
      <c r="A91" t="str">
        <f>A4</f>
        <v>Fiscal year</v>
      </c>
      <c r="C91">
        <f t="shared" ref="C91:I91" si="37">C4</f>
        <v>2017</v>
      </c>
      <c r="D91">
        <f t="shared" si="37"/>
        <v>2016</v>
      </c>
      <c r="E91">
        <f t="shared" si="37"/>
        <v>2016</v>
      </c>
      <c r="F91">
        <f t="shared" si="37"/>
        <v>2015</v>
      </c>
      <c r="G91">
        <f t="shared" si="37"/>
        <v>2015</v>
      </c>
      <c r="H91">
        <f t="shared" si="37"/>
        <v>2015</v>
      </c>
      <c r="I91">
        <f t="shared" si="37"/>
        <v>2014</v>
      </c>
      <c r="J91">
        <f t="shared" ref="J91:Y91" si="38">J4</f>
        <v>2014</v>
      </c>
      <c r="K91">
        <f t="shared" si="38"/>
        <v>2013</v>
      </c>
      <c r="L91">
        <f t="shared" si="38"/>
        <v>2012</v>
      </c>
      <c r="M91">
        <f t="shared" si="38"/>
        <v>2011</v>
      </c>
      <c r="N91">
        <f t="shared" si="38"/>
        <v>2010</v>
      </c>
      <c r="O91">
        <f t="shared" si="38"/>
        <v>2009</v>
      </c>
      <c r="P91">
        <f t="shared" si="38"/>
        <v>2008</v>
      </c>
      <c r="Q91">
        <f t="shared" si="38"/>
        <v>2007</v>
      </c>
      <c r="R91">
        <f t="shared" si="38"/>
        <v>2006</v>
      </c>
      <c r="S91">
        <f t="shared" si="38"/>
        <v>2005</v>
      </c>
      <c r="T91">
        <f t="shared" si="38"/>
        <v>2004</v>
      </c>
      <c r="U91">
        <f t="shared" si="38"/>
        <v>2003</v>
      </c>
      <c r="V91">
        <f t="shared" si="38"/>
        <v>2002</v>
      </c>
      <c r="W91">
        <f t="shared" si="38"/>
        <v>2001</v>
      </c>
      <c r="X91">
        <f t="shared" si="38"/>
        <v>2000</v>
      </c>
      <c r="Y91">
        <f t="shared" si="38"/>
        <v>1999</v>
      </c>
    </row>
    <row r="92" spans="1:30">
      <c r="C92" t="str">
        <f t="shared" ref="C92:I92" si="39">C5</f>
        <v>advertised</v>
      </c>
      <c r="D92" t="str">
        <f t="shared" si="39"/>
        <v>adopted</v>
      </c>
      <c r="E92" t="str">
        <f t="shared" si="39"/>
        <v>Advertised</v>
      </c>
      <c r="F92" t="str">
        <f t="shared" si="39"/>
        <v>actual</v>
      </c>
      <c r="G92" t="str">
        <f t="shared" si="39"/>
        <v>Revised</v>
      </c>
      <c r="H92" t="str">
        <f t="shared" si="39"/>
        <v>Adopted</v>
      </c>
      <c r="I92" t="str">
        <f t="shared" si="39"/>
        <v>Actual</v>
      </c>
      <c r="J92" t="str">
        <f t="shared" ref="J92:Y92" si="40">J5</f>
        <v>Revised</v>
      </c>
      <c r="K92" t="str">
        <f t="shared" si="40"/>
        <v>Actual</v>
      </c>
      <c r="L92" t="str">
        <f t="shared" si="40"/>
        <v>Actual</v>
      </c>
      <c r="M92" t="str">
        <f t="shared" si="40"/>
        <v>Actual</v>
      </c>
      <c r="N92" t="str">
        <f t="shared" si="40"/>
        <v>Actual</v>
      </c>
      <c r="O92" t="str">
        <f t="shared" si="40"/>
        <v>Actual</v>
      </c>
      <c r="P92" t="str">
        <f t="shared" si="40"/>
        <v>Actual</v>
      </c>
      <c r="Q92" t="str">
        <f t="shared" si="40"/>
        <v>Actual</v>
      </c>
      <c r="R92" t="str">
        <f t="shared" si="40"/>
        <v>Actual</v>
      </c>
      <c r="S92" t="str">
        <f t="shared" si="40"/>
        <v>Actual</v>
      </c>
      <c r="T92" t="str">
        <f t="shared" si="40"/>
        <v>Actual</v>
      </c>
      <c r="U92" t="str">
        <f t="shared" si="40"/>
        <v>Actual</v>
      </c>
      <c r="V92" t="str">
        <f t="shared" si="40"/>
        <v>Actual</v>
      </c>
      <c r="W92" t="str">
        <f t="shared" si="40"/>
        <v>Actual</v>
      </c>
      <c r="X92" t="str">
        <f t="shared" si="40"/>
        <v>Actual</v>
      </c>
      <c r="Y92" t="str">
        <f t="shared" si="40"/>
        <v>Actual</v>
      </c>
    </row>
    <row r="93" spans="1:30">
      <c r="A93" t="str">
        <f>A5</f>
        <v># Agency Title</v>
      </c>
    </row>
    <row r="94" spans="1:30">
      <c r="A94" t="str">
        <f t="shared" ref="A94:B110" si="41">A6</f>
        <v>Legislative-Executive Functions / Central Services</v>
      </c>
    </row>
    <row r="95" spans="1:30">
      <c r="A95" t="str">
        <f t="shared" si="41"/>
        <v>01 Board of Supervisors</v>
      </c>
      <c r="B95" t="str">
        <f t="shared" si="41"/>
        <v>001</v>
      </c>
      <c r="C95" s="64">
        <f t="shared" ref="C95" si="42">C7/1000000*$J$3/C$3</f>
        <v>5.6038071436076828</v>
      </c>
      <c r="D95" s="64">
        <f t="shared" ref="D95" si="43">D7/1000000*$J$3/D$3</f>
        <v>5.4081796932028317</v>
      </c>
      <c r="E95" s="64">
        <f t="shared" ref="E95" si="44">E7/1000000*$J$3/E$3</f>
        <v>5.2972641044023003</v>
      </c>
      <c r="F95" s="64">
        <f t="shared" ref="F95" si="45">F7/1000000*$J$3/F$3</f>
        <v>4.6256645351697001</v>
      </c>
      <c r="G95" s="64">
        <f t="shared" ref="G95" si="46">G7/1000000*$J$3/G$3</f>
        <v>5.1922351205115591</v>
      </c>
      <c r="H95" s="64">
        <f t="shared" ref="H95" si="47">H7/1000000*$J$3/H$3</f>
        <v>5.1905597638957204</v>
      </c>
      <c r="I95" s="64">
        <f t="shared" ref="I95" si="48">I7/1000000*$J$3/I$3</f>
        <v>4.662121</v>
      </c>
      <c r="J95" s="64">
        <f t="shared" ref="J95:Y95" si="49">J7/1000000*$J$3/J$3</f>
        <v>5.2266389999999996</v>
      </c>
      <c r="K95" s="64">
        <f t="shared" si="49"/>
        <v>4.6285660492851868</v>
      </c>
      <c r="L95" s="64">
        <f t="shared" si="49"/>
        <v>4.5813807048125188</v>
      </c>
      <c r="M95" s="64">
        <f t="shared" si="49"/>
        <v>4.7703735142975701</v>
      </c>
      <c r="N95" s="64">
        <f t="shared" si="49"/>
        <v>4.8579638894076149</v>
      </c>
      <c r="O95" s="64">
        <f t="shared" si="49"/>
        <v>4.9803259197745229</v>
      </c>
      <c r="P95" s="64">
        <f t="shared" si="49"/>
        <v>4.90820685269055</v>
      </c>
      <c r="Q95" s="64">
        <f t="shared" si="49"/>
        <v>4.8733098193025697</v>
      </c>
      <c r="R95" s="64">
        <f t="shared" si="49"/>
        <v>4.7272724852306558</v>
      </c>
      <c r="S95" s="64">
        <f t="shared" si="49"/>
        <v>4.636994813286397</v>
      </c>
      <c r="T95" s="64">
        <f t="shared" si="49"/>
        <v>4.6815184777501324</v>
      </c>
      <c r="U95" s="64">
        <f t="shared" si="49"/>
        <v>4.8590741513134068</v>
      </c>
      <c r="V95" s="64">
        <f t="shared" si="49"/>
        <v>4.8408953588975363</v>
      </c>
      <c r="W95" s="64">
        <f t="shared" si="49"/>
        <v>4.5490157743817061</v>
      </c>
      <c r="X95" s="64">
        <f t="shared" si="49"/>
        <v>4.4698482824661259</v>
      </c>
      <c r="Y95" s="64">
        <f t="shared" si="49"/>
        <v>4.7492543299739909</v>
      </c>
    </row>
    <row r="96" spans="1:30">
      <c r="A96" t="str">
        <f t="shared" si="41"/>
        <v>02 Office of the County Executive</v>
      </c>
      <c r="B96" t="str">
        <f t="shared" ref="B96" si="50">B8</f>
        <v>002</v>
      </c>
      <c r="C96" s="64">
        <f t="shared" ref="C96" si="51">C8/1000000*$J$3/C$3</f>
        <v>6.4379838895411163</v>
      </c>
      <c r="D96" s="64">
        <f t="shared" ref="D96" si="52">D8/1000000*$J$3/D$3</f>
        <v>6.337433333760778</v>
      </c>
      <c r="E96" s="64">
        <f t="shared" ref="E96" si="53">E8/1000000*$J$3/E$3</f>
        <v>6.3224498673994196</v>
      </c>
      <c r="F96" s="64">
        <f t="shared" ref="F96" si="54">F8/1000000*$J$3/F$3</f>
        <v>5.7736301032956217</v>
      </c>
      <c r="G96" s="64">
        <f t="shared" ref="G96" si="55">G8/1000000*$J$3/G$3</f>
        <v>6.5981121495327102</v>
      </c>
      <c r="H96" s="64">
        <f t="shared" ref="H96" si="56">H8/1000000*$J$3/H$3</f>
        <v>6.5706217412690604</v>
      </c>
      <c r="I96" s="64">
        <f t="shared" ref="I96" si="57">I8/1000000*$J$3/I$3</f>
        <v>5.8800939999999997</v>
      </c>
      <c r="J96" s="64">
        <f t="shared" ref="J96:Y96" si="58">J8/1000000*$J$3/J$3</f>
        <v>6.6051080000000004</v>
      </c>
      <c r="K96" s="64">
        <f t="shared" si="58"/>
        <v>5.822372097490061</v>
      </c>
      <c r="L96" s="64">
        <f t="shared" si="58"/>
        <v>5.6381253324619873</v>
      </c>
      <c r="M96" s="64">
        <f t="shared" si="58"/>
        <v>5.8578578661267686</v>
      </c>
      <c r="N96" s="64">
        <f t="shared" si="58"/>
        <v>6.2915489424100537</v>
      </c>
      <c r="O96" s="64">
        <f t="shared" si="58"/>
        <v>7.3469383270725643</v>
      </c>
      <c r="P96" s="64">
        <f t="shared" si="58"/>
        <v>8.6745718054478278</v>
      </c>
      <c r="Q96" s="64">
        <f t="shared" si="58"/>
        <v>8.0350247577705751</v>
      </c>
      <c r="R96" s="64">
        <f t="shared" si="58"/>
        <v>8.5273611977066821</v>
      </c>
      <c r="S96" s="64">
        <f t="shared" si="58"/>
        <v>8.2862494878673836</v>
      </c>
      <c r="T96" s="64">
        <f t="shared" si="58"/>
        <v>8.0688746491926953</v>
      </c>
      <c r="U96" s="64">
        <f t="shared" si="58"/>
        <v>7.8705460363152193</v>
      </c>
      <c r="V96" s="64">
        <f t="shared" si="58"/>
        <v>7.9938697450537353</v>
      </c>
      <c r="W96" s="64">
        <f t="shared" si="58"/>
        <v>7.1612917661998878</v>
      </c>
      <c r="X96" s="64">
        <f t="shared" si="58"/>
        <v>6.2521609184320575</v>
      </c>
      <c r="Y96" s="64">
        <f t="shared" si="58"/>
        <v>5.4409260755072033</v>
      </c>
    </row>
    <row r="97" spans="1:25">
      <c r="A97" t="str">
        <f t="shared" si="41"/>
        <v>04 Department of Cable and Consumer Services</v>
      </c>
      <c r="B97" t="str">
        <f t="shared" ref="B97" si="59">B9</f>
        <v>004</v>
      </c>
      <c r="C97" s="64">
        <f t="shared" ref="C97" si="60">C9/1000000*$J$3/C$3</f>
        <v>0</v>
      </c>
      <c r="D97" s="64">
        <f t="shared" ref="D97" si="61">D9/1000000*$J$3/D$3</f>
        <v>0.92559826318765448</v>
      </c>
      <c r="E97" s="64">
        <f t="shared" ref="E97" si="62">E9/1000000*$J$3/E$3</f>
        <v>0.92375363801747312</v>
      </c>
      <c r="F97" s="64">
        <f t="shared" ref="F97" si="63">F9/1000000*$J$3/F$3</f>
        <v>0.82121593703885887</v>
      </c>
      <c r="G97" s="64">
        <f t="shared" ref="G97" si="64">G9/1000000*$J$3/G$3</f>
        <v>0.95648106246925713</v>
      </c>
      <c r="H97" s="64">
        <f t="shared" ref="H97" si="65">H9/1000000*$J$3/H$3</f>
        <v>0.95648106246925713</v>
      </c>
      <c r="I97" s="64">
        <f t="shared" ref="I97" si="66">I9/1000000*$J$3/I$3</f>
        <v>0.87512100000000004</v>
      </c>
      <c r="J97" s="64">
        <f t="shared" ref="J97:Y97" si="67">J9/1000000*$J$3/J$3</f>
        <v>0.98494300000000012</v>
      </c>
      <c r="K97" s="64">
        <f t="shared" si="67"/>
        <v>1.0689407903880723</v>
      </c>
      <c r="L97" s="64">
        <f t="shared" si="67"/>
        <v>1.0516406421344642</v>
      </c>
      <c r="M97" s="64">
        <f t="shared" si="67"/>
        <v>0.90521029947652532</v>
      </c>
      <c r="N97" s="64">
        <f t="shared" si="67"/>
        <v>1.2600466382794635</v>
      </c>
      <c r="O97" s="64">
        <f t="shared" si="67"/>
        <v>1.5188259834364237</v>
      </c>
      <c r="P97" s="64">
        <f t="shared" si="67"/>
        <v>1.4462443030047578</v>
      </c>
      <c r="Q97" s="64">
        <f t="shared" si="67"/>
        <v>1.4660739620851861</v>
      </c>
      <c r="R97" s="64">
        <f t="shared" si="67"/>
        <v>1.441040994519676</v>
      </c>
      <c r="S97" s="64">
        <f t="shared" si="67"/>
        <v>1.3218351145596521</v>
      </c>
      <c r="T97" s="64">
        <f t="shared" si="67"/>
        <v>2.1260724957993649</v>
      </c>
      <c r="U97" s="64">
        <f t="shared" si="67"/>
        <v>2.1014310415335147</v>
      </c>
      <c r="V97" s="64">
        <f t="shared" si="67"/>
        <v>2.1729892988521402</v>
      </c>
      <c r="W97" s="64">
        <f t="shared" si="67"/>
        <v>1.8314757344748733</v>
      </c>
      <c r="X97" s="64">
        <f t="shared" si="67"/>
        <v>2.1543651058420443</v>
      </c>
      <c r="Y97" s="64">
        <f t="shared" si="67"/>
        <v>1.8363607396508608</v>
      </c>
    </row>
    <row r="98" spans="1:25">
      <c r="A98" t="str">
        <f t="shared" si="41"/>
        <v>06 Department of Finance</v>
      </c>
      <c r="B98" t="str">
        <f t="shared" ref="B98" si="68">B10</f>
        <v>006</v>
      </c>
      <c r="C98" s="64">
        <f t="shared" ref="C98" si="69">C10/1000000*$J$3/C$3</f>
        <v>8.1225686187500408</v>
      </c>
      <c r="D98" s="64">
        <f t="shared" ref="D98" si="70">D10/1000000*$J$3/D$3</f>
        <v>8.0027175799988814</v>
      </c>
      <c r="E98" s="64">
        <f t="shared" ref="E98" si="71">E10/1000000*$J$3/E$3</f>
        <v>7.9928421575243114</v>
      </c>
      <c r="F98" s="64">
        <f t="shared" ref="F98" si="72">F10/1000000*$J$3/F$3</f>
        <v>7.2869463846532208</v>
      </c>
      <c r="G98" s="64">
        <f t="shared" ref="G98" si="73">G10/1000000*$J$3/G$3</f>
        <v>8.7867447122479092</v>
      </c>
      <c r="H98" s="64">
        <f t="shared" ref="H98" si="74">H10/1000000*$J$3/H$3</f>
        <v>8.2426237088047216</v>
      </c>
      <c r="I98" s="64">
        <f t="shared" ref="I98" si="75">I10/1000000*$J$3/I$3</f>
        <v>7.6403119999999998</v>
      </c>
      <c r="J98" s="64">
        <f t="shared" ref="J98:Y98" si="76">J10/1000000*$J$3/J$3</f>
        <v>9.0549769999999992</v>
      </c>
      <c r="K98" s="64">
        <f t="shared" si="76"/>
        <v>9.3489782636973544</v>
      </c>
      <c r="L98" s="64">
        <f t="shared" si="76"/>
        <v>9.3155840159179579</v>
      </c>
      <c r="M98" s="64">
        <f t="shared" si="76"/>
        <v>9.186938075636748</v>
      </c>
      <c r="N98" s="64">
        <f t="shared" si="76"/>
        <v>9.2261063886623926</v>
      </c>
      <c r="O98" s="64">
        <f t="shared" si="76"/>
        <v>9.6935480472202933</v>
      </c>
      <c r="P98" s="64">
        <f t="shared" si="76"/>
        <v>10.036060683776665</v>
      </c>
      <c r="Q98" s="64">
        <f t="shared" si="76"/>
        <v>9.5946687747923729</v>
      </c>
      <c r="R98" s="64">
        <f t="shared" si="76"/>
        <v>9.4957812166352511</v>
      </c>
      <c r="S98" s="64">
        <f t="shared" si="76"/>
        <v>9.307335121753713</v>
      </c>
      <c r="T98" s="64">
        <f t="shared" si="76"/>
        <v>8.9658778852523398</v>
      </c>
      <c r="U98" s="64">
        <f t="shared" si="76"/>
        <v>8.934007355098732</v>
      </c>
      <c r="V98" s="64">
        <f t="shared" si="76"/>
        <v>8.3852766111172876</v>
      </c>
      <c r="W98" s="64">
        <f t="shared" si="76"/>
        <v>8.0469844586768318</v>
      </c>
      <c r="X98" s="64">
        <f t="shared" si="76"/>
        <v>6.489918542542588</v>
      </c>
      <c r="Y98" s="64">
        <f t="shared" si="76"/>
        <v>5.5591449553741512</v>
      </c>
    </row>
    <row r="99" spans="1:25">
      <c r="A99" t="str">
        <f t="shared" si="41"/>
        <v>11 Department of Human Resources</v>
      </c>
      <c r="B99" t="str">
        <f t="shared" ref="B99" si="77">B11</f>
        <v>011</v>
      </c>
      <c r="C99" s="64">
        <f t="shared" ref="C99" si="78">C11/1000000*$J$3/C$3</f>
        <v>7.1641600002054417</v>
      </c>
      <c r="D99" s="64">
        <f t="shared" ref="D99" si="79">D11/1000000*$J$3/D$3</f>
        <v>7.0711508994846222</v>
      </c>
      <c r="E99" s="64">
        <f t="shared" ref="E99" si="80">E11/1000000*$J$3/E$3</f>
        <v>7.0560512972258769</v>
      </c>
      <c r="F99" s="64">
        <f t="shared" ref="F99" si="81">F11/1000000*$J$3/F$3</f>
        <v>7.0984308903098867</v>
      </c>
      <c r="G99" s="64">
        <f t="shared" ref="G99" si="82">G11/1000000*$J$3/G$3</f>
        <v>7.3197953762911956</v>
      </c>
      <c r="H99" s="64">
        <f t="shared" ref="H99" si="83">H11/1000000*$J$3/H$3</f>
        <v>7.2054638465322176</v>
      </c>
      <c r="I99" s="64">
        <f t="shared" ref="I99" si="84">I11/1000000*$J$3/I$3</f>
        <v>6.8277640000000002</v>
      </c>
      <c r="J99" s="64">
        <f t="shared" ref="J99:Y99" si="85">J11/1000000*$J$3/J$3</f>
        <v>7.5682869999999998</v>
      </c>
      <c r="K99" s="64">
        <f t="shared" si="85"/>
        <v>7.6826756248701038</v>
      </c>
      <c r="L99" s="64">
        <f t="shared" si="85"/>
        <v>7.9230146702202839</v>
      </c>
      <c r="M99" s="64">
        <f t="shared" si="85"/>
        <v>7.5465231742819361</v>
      </c>
      <c r="N99" s="64">
        <f t="shared" si="85"/>
        <v>6.9906966687280638</v>
      </c>
      <c r="O99" s="64">
        <f t="shared" si="85"/>
        <v>7.2625291280392972</v>
      </c>
      <c r="P99" s="64">
        <f t="shared" si="85"/>
        <v>7.6722417635139015</v>
      </c>
      <c r="Q99" s="64">
        <f t="shared" si="85"/>
        <v>7.5506359941457433</v>
      </c>
      <c r="R99" s="64">
        <f t="shared" si="85"/>
        <v>7.6426783777306548</v>
      </c>
      <c r="S99" s="64">
        <f t="shared" si="85"/>
        <v>7.2539585845255168</v>
      </c>
      <c r="T99" s="64">
        <f t="shared" si="85"/>
        <v>7.3403613929707081</v>
      </c>
      <c r="U99" s="64">
        <f t="shared" si="85"/>
        <v>7.3107216129710144</v>
      </c>
      <c r="V99" s="64">
        <f t="shared" si="85"/>
        <v>7.5627967407365206</v>
      </c>
      <c r="W99" s="64">
        <f t="shared" si="85"/>
        <v>7.6261047156390003</v>
      </c>
      <c r="X99" s="64">
        <f t="shared" si="85"/>
        <v>7.7093366386662812</v>
      </c>
      <c r="Y99" s="64">
        <f t="shared" si="85"/>
        <v>7.3071516651870754</v>
      </c>
    </row>
    <row r="100" spans="1:25">
      <c r="A100" t="str">
        <f t="shared" si="41"/>
        <v>12 Department of Purchasing and Supply Management</v>
      </c>
      <c r="B100" t="str">
        <f t="shared" ref="B100" si="86">B12</f>
        <v>012</v>
      </c>
      <c r="C100" s="64">
        <f t="shared" ref="C100" si="87">C12/1000000*$J$3/C$3</f>
        <v>4.5419302560864336</v>
      </c>
      <c r="D100" s="64">
        <f t="shared" ref="D100" si="88">D12/1000000*$J$3/D$3</f>
        <v>4.4942405063138002</v>
      </c>
      <c r="E100" s="64">
        <f t="shared" ref="E100" si="89">E12/1000000*$J$3/E$3</f>
        <v>4.4859755016163447</v>
      </c>
      <c r="F100" s="64">
        <f t="shared" ref="F100" si="90">F12/1000000*$J$3/F$3</f>
        <v>4.2840482046237085</v>
      </c>
      <c r="G100" s="64">
        <f t="shared" ref="G100" si="91">G12/1000000*$J$3/G$3</f>
        <v>4.623865223807182</v>
      </c>
      <c r="H100" s="64">
        <f t="shared" ref="H100" si="92">H12/1000000*$J$3/H$3</f>
        <v>4.5447909493359573</v>
      </c>
      <c r="I100" s="64">
        <f t="shared" ref="I100" si="93">I12/1000000*$J$3/I$3</f>
        <v>4.442882</v>
      </c>
      <c r="J100" s="64">
        <f t="shared" ref="J100:Y100" si="94">J12/1000000*$J$3/J$3</f>
        <v>4.6889250000000011</v>
      </c>
      <c r="K100" s="64">
        <f t="shared" si="94"/>
        <v>4.8792162460367337</v>
      </c>
      <c r="L100" s="64">
        <f t="shared" si="94"/>
        <v>5.1321306440189502</v>
      </c>
      <c r="M100" s="64">
        <f t="shared" si="94"/>
        <v>5.0434483365561809</v>
      </c>
      <c r="N100" s="64">
        <f t="shared" si="94"/>
        <v>5.4250196179719889</v>
      </c>
      <c r="O100" s="64">
        <f t="shared" si="94"/>
        <v>5.7807037571056119</v>
      </c>
      <c r="P100" s="64">
        <f t="shared" si="94"/>
        <v>5.6142557593801916</v>
      </c>
      <c r="Q100" s="64">
        <f t="shared" si="94"/>
        <v>5.6549734973104027</v>
      </c>
      <c r="R100" s="64">
        <f t="shared" si="94"/>
        <v>5.2852711380720896</v>
      </c>
      <c r="S100" s="64">
        <f t="shared" si="94"/>
        <v>4.8567085222546513</v>
      </c>
      <c r="T100" s="64">
        <f t="shared" si="94"/>
        <v>4.9489125419560622</v>
      </c>
      <c r="U100" s="64">
        <f t="shared" si="94"/>
        <v>5.0431738325751816</v>
      </c>
      <c r="V100" s="64">
        <f t="shared" si="94"/>
        <v>4.7340890541096909</v>
      </c>
      <c r="W100" s="64">
        <f t="shared" si="94"/>
        <v>4.6021149880942982</v>
      </c>
      <c r="X100" s="64">
        <f t="shared" si="94"/>
        <v>4.1707509702932644</v>
      </c>
      <c r="Y100" s="64">
        <f t="shared" si="94"/>
        <v>4.0841194866766708</v>
      </c>
    </row>
    <row r="101" spans="1:25">
      <c r="A101" t="str">
        <f t="shared" si="41"/>
        <v>13 Office of Public Affairs</v>
      </c>
      <c r="B101" t="str">
        <f t="shared" ref="B101" si="95">B13</f>
        <v>013</v>
      </c>
      <c r="C101" s="64">
        <f t="shared" ref="C101" si="96">C13/1000000*$J$3/C$3</f>
        <v>1.2187619199945887</v>
      </c>
      <c r="D101" s="64">
        <f t="shared" ref="D101" si="97">D13/1000000*$J$3/D$3</f>
        <v>1.1866785351101803</v>
      </c>
      <c r="E101" s="64">
        <f t="shared" ref="E101" si="98">E13/1000000*$J$3/E$3</f>
        <v>1.1831480038295814</v>
      </c>
      <c r="F101" s="64">
        <f t="shared" ref="F101" si="99">F13/1000000*$J$3/F$3</f>
        <v>1.12807476635514</v>
      </c>
      <c r="G101" s="64">
        <f t="shared" ref="G101" si="100">G13/1000000*$J$3/G$3</f>
        <v>1.3303856369896703</v>
      </c>
      <c r="H101" s="64">
        <f t="shared" ref="H101" si="101">H13/1000000*$J$3/H$3</f>
        <v>1.2716753566158387</v>
      </c>
      <c r="I101" s="64">
        <f t="shared" ref="I101" si="102">I13/1000000*$J$3/I$3</f>
        <v>1.2302600000000001</v>
      </c>
      <c r="J101" s="64">
        <f t="shared" ref="J101:Y101" si="103">J13/1000000*$J$3/J$3</f>
        <v>1.3293980000000001</v>
      </c>
      <c r="K101" s="64">
        <f t="shared" si="103"/>
        <v>1.1835300090173975</v>
      </c>
      <c r="L101" s="64">
        <f t="shared" si="103"/>
        <v>1.2213290850069707</v>
      </c>
      <c r="M101" s="64">
        <f t="shared" si="103"/>
        <v>1.2702730499290551</v>
      </c>
      <c r="N101" s="64">
        <f t="shared" si="103"/>
        <v>1.3612221016650159</v>
      </c>
      <c r="O101" s="64">
        <f t="shared" si="103"/>
        <v>1.6310813682830159</v>
      </c>
      <c r="P101" s="64">
        <f t="shared" si="103"/>
        <v>1.7987277783139732</v>
      </c>
      <c r="Q101" s="64">
        <f t="shared" si="103"/>
        <v>1.511574502148624</v>
      </c>
      <c r="R101" s="64">
        <f t="shared" si="103"/>
        <v>1.4193906735631614</v>
      </c>
      <c r="S101" s="64">
        <f t="shared" si="103"/>
        <v>1.4262111570745861</v>
      </c>
      <c r="T101" s="64">
        <f t="shared" si="103"/>
        <v>1.3155863654349744</v>
      </c>
      <c r="U101" s="64">
        <f t="shared" si="103"/>
        <v>1.2494111446521741</v>
      </c>
      <c r="V101" s="64">
        <f t="shared" si="103"/>
        <v>1.0452434710793033</v>
      </c>
      <c r="W101" s="64">
        <f t="shared" si="103"/>
        <v>0.89124817248070787</v>
      </c>
      <c r="X101" s="64">
        <f t="shared" si="103"/>
        <v>0.77633102850271019</v>
      </c>
      <c r="Y101" s="64">
        <f t="shared" si="103"/>
        <v>0.90288559353541431</v>
      </c>
    </row>
    <row r="102" spans="1:25">
      <c r="A102" t="str">
        <f t="shared" si="41"/>
        <v>15 Office of Elections</v>
      </c>
      <c r="B102" t="str">
        <f t="shared" ref="B102" si="104">B14</f>
        <v>015</v>
      </c>
      <c r="C102" s="64">
        <f t="shared" ref="C102" si="105">C14/1000000*$J$3/C$3</f>
        <v>4.8855315319034656</v>
      </c>
      <c r="D102" s="64">
        <f t="shared" ref="D102" si="106">D14/1000000*$J$3/D$3</f>
        <v>3.9025135921341154</v>
      </c>
      <c r="E102" s="64">
        <f t="shared" ref="E102" si="107">E14/1000000*$J$3/E$3</f>
        <v>3.8949347570303954</v>
      </c>
      <c r="F102" s="64">
        <f t="shared" ref="F102" si="108">F14/1000000*$J$3/F$3</f>
        <v>3.4372493851451056</v>
      </c>
      <c r="G102" s="64">
        <f t="shared" ref="G102" si="109">G14/1000000*$J$3/G$3</f>
        <v>4.0363393999016237</v>
      </c>
      <c r="H102" s="64">
        <f t="shared" ref="H102" si="110">H14/1000000*$J$3/H$3</f>
        <v>3.9017225774717166</v>
      </c>
      <c r="I102" s="64">
        <f t="shared" ref="I102" si="111">I14/1000000*$J$3/I$3</f>
        <v>3.537776</v>
      </c>
      <c r="J102" s="64">
        <f t="shared" ref="J102:Y102" si="112">J14/1000000*$J$3/J$3</f>
        <v>3.7344059999999999</v>
      </c>
      <c r="K102" s="64">
        <f t="shared" si="112"/>
        <v>3.6166962993212275</v>
      </c>
      <c r="L102" s="64">
        <f t="shared" si="112"/>
        <v>3.8628962727438703</v>
      </c>
      <c r="M102" s="64">
        <f t="shared" si="112"/>
        <v>2.6302617986692707</v>
      </c>
      <c r="N102" s="64">
        <f t="shared" si="112"/>
        <v>2.6092612647851929</v>
      </c>
      <c r="O102" s="64">
        <f t="shared" si="112"/>
        <v>4.8078914348876882</v>
      </c>
      <c r="P102" s="64">
        <f t="shared" si="112"/>
        <v>3.3388834492923931</v>
      </c>
      <c r="Q102" s="64">
        <f t="shared" si="112"/>
        <v>3.246650954510744</v>
      </c>
      <c r="R102" s="64">
        <f t="shared" si="112"/>
        <v>3.330997642227183</v>
      </c>
      <c r="S102" s="64">
        <f t="shared" si="112"/>
        <v>4.6216439335390005</v>
      </c>
      <c r="T102" s="64">
        <f t="shared" si="112"/>
        <v>4.7689466855796727</v>
      </c>
      <c r="U102" s="64">
        <f t="shared" si="112"/>
        <v>2.4556513907373194</v>
      </c>
      <c r="V102" s="64">
        <f t="shared" si="112"/>
        <v>2.7557984742078934</v>
      </c>
      <c r="W102" s="64">
        <f t="shared" si="112"/>
        <v>2.8894832154131378</v>
      </c>
      <c r="X102" s="64">
        <f t="shared" si="112"/>
        <v>2.3838988289711582</v>
      </c>
      <c r="Y102" s="64">
        <f t="shared" si="112"/>
        <v>2.1723200534353748</v>
      </c>
    </row>
    <row r="103" spans="1:25">
      <c r="A103" t="str">
        <f t="shared" si="41"/>
        <v>17 Office of the County Attorney</v>
      </c>
      <c r="B103" t="str">
        <f t="shared" ref="B103" si="113">B15</f>
        <v>017</v>
      </c>
      <c r="C103" s="64">
        <f t="shared" ref="C103" si="114">C15/1000000*$J$3/C$3</f>
        <v>6.9111811365962037</v>
      </c>
      <c r="D103" s="64">
        <f t="shared" ref="D103" si="115">D15/1000000*$J$3/D$3</f>
        <v>6.4980608934382982</v>
      </c>
      <c r="E103" s="64">
        <f t="shared" ref="E103" si="116">E15/1000000*$J$3/E$3</f>
        <v>6.4815454010305604</v>
      </c>
      <c r="F103" s="64">
        <f t="shared" ref="F103" si="117">F15/1000000*$J$3/F$3</f>
        <v>6.4328224299065422</v>
      </c>
      <c r="G103" s="64">
        <f t="shared" ref="G103" si="118">G15/1000000*$J$3/G$3</f>
        <v>7.7034845056566654</v>
      </c>
      <c r="H103" s="64">
        <f t="shared" ref="H103" si="119">H15/1000000*$J$3/H$3</f>
        <v>6.3991421544515497</v>
      </c>
      <c r="I103" s="64">
        <f t="shared" ref="I103" si="120">I15/1000000*$J$3/I$3</f>
        <v>6.3120690000000002</v>
      </c>
      <c r="J103" s="64">
        <f t="shared" ref="J103:Y103" si="121">J15/1000000*$J$3/J$3</f>
        <v>7.648129</v>
      </c>
      <c r="K103" s="64">
        <f t="shared" si="121"/>
        <v>6.8851627109435398</v>
      </c>
      <c r="L103" s="64">
        <f t="shared" si="121"/>
        <v>6.359814448769149</v>
      </c>
      <c r="M103" s="64">
        <f t="shared" si="121"/>
        <v>6.135866551908479</v>
      </c>
      <c r="N103" s="64">
        <f t="shared" si="121"/>
        <v>6.4485743646219325</v>
      </c>
      <c r="O103" s="64">
        <f t="shared" si="121"/>
        <v>7.0682370149142892</v>
      </c>
      <c r="P103" s="64">
        <f t="shared" si="121"/>
        <v>6.8695590058909239</v>
      </c>
      <c r="Q103" s="64">
        <f t="shared" si="121"/>
        <v>6.6873736838146636</v>
      </c>
      <c r="R103" s="64">
        <f t="shared" si="121"/>
        <v>6.6399339632085006</v>
      </c>
      <c r="S103" s="64">
        <f t="shared" si="121"/>
        <v>6.3882024225746727</v>
      </c>
      <c r="T103" s="64">
        <f t="shared" si="121"/>
        <v>6.8942308963137471</v>
      </c>
      <c r="U103" s="64">
        <f t="shared" si="121"/>
        <v>6.7897270673985517</v>
      </c>
      <c r="V103" s="64">
        <f t="shared" si="121"/>
        <v>6.6531469028608488</v>
      </c>
      <c r="W103" s="64">
        <f t="shared" si="121"/>
        <v>6.7874437865048005</v>
      </c>
      <c r="X103" s="64">
        <f t="shared" si="121"/>
        <v>6.2693620968137838</v>
      </c>
      <c r="Y103" s="64">
        <f t="shared" si="121"/>
        <v>6.136803937807124</v>
      </c>
    </row>
    <row r="104" spans="1:25">
      <c r="A104" t="str">
        <f t="shared" si="41"/>
        <v>20 Department of Management and Budget</v>
      </c>
      <c r="B104" t="str">
        <f t="shared" ref="B104" si="122">B16</f>
        <v>020</v>
      </c>
      <c r="C104" s="64">
        <f t="shared" ref="C104" si="123">C16/1000000*$J$3/C$3</f>
        <v>4.3389224077312445</v>
      </c>
      <c r="D104" s="64">
        <f t="shared" ref="D104" si="124">D16/1000000*$J$3/D$3</f>
        <v>4.3931413042400003</v>
      </c>
      <c r="E104" s="64">
        <f t="shared" ref="E104" si="125">E16/1000000*$J$3/E$3</f>
        <v>4.3821819467231418</v>
      </c>
      <c r="F104" s="64">
        <f t="shared" ref="F104" si="126">F16/1000000*$J$3/F$3</f>
        <v>4.3529178553861287</v>
      </c>
      <c r="G104" s="64">
        <f t="shared" ref="G104" si="127">G16/1000000*$J$3/G$3</f>
        <v>4.5426168224299062</v>
      </c>
      <c r="H104" s="64">
        <f t="shared" ref="H104" si="128">H16/1000000*$J$3/H$3</f>
        <v>4.4816832267584852</v>
      </c>
      <c r="I104" s="64">
        <f t="shared" ref="I104" si="129">I16/1000000*$J$3/I$3</f>
        <v>4.2855549999999996</v>
      </c>
      <c r="J104" s="64">
        <f t="shared" ref="J104:Y104" si="130">J16/1000000*$J$3/J$3</f>
        <v>4.508991</v>
      </c>
      <c r="K104" s="64">
        <f t="shared" si="130"/>
        <v>2.6944360093565161</v>
      </c>
      <c r="L104" s="64">
        <f t="shared" si="130"/>
        <v>2.821243975596043</v>
      </c>
      <c r="M104" s="64">
        <f t="shared" si="130"/>
        <v>2.9018537255131944</v>
      </c>
      <c r="N104" s="64">
        <f t="shared" si="130"/>
        <v>3.0350847665393297</v>
      </c>
      <c r="O104" s="64">
        <f t="shared" si="130"/>
        <v>3.280716561343731</v>
      </c>
      <c r="P104" s="64">
        <f t="shared" si="130"/>
        <v>3.3532402586641465</v>
      </c>
      <c r="Q104" s="64">
        <f t="shared" si="130"/>
        <v>3.2942512033186717</v>
      </c>
      <c r="R104" s="64">
        <f t="shared" si="130"/>
        <v>3.2496982621337636</v>
      </c>
      <c r="S104" s="64">
        <f t="shared" si="130"/>
        <v>3.1489728491935485</v>
      </c>
      <c r="T104" s="64">
        <f t="shared" si="130"/>
        <v>3.3412508943885655</v>
      </c>
      <c r="U104" s="64">
        <f t="shared" si="130"/>
        <v>3.2773008679764497</v>
      </c>
      <c r="V104" s="64">
        <f t="shared" si="130"/>
        <v>3.4012117984963868</v>
      </c>
      <c r="W104" s="64">
        <f t="shared" si="130"/>
        <v>3.3984272083662721</v>
      </c>
      <c r="X104" s="64">
        <f t="shared" si="130"/>
        <v>3.3403981783226868</v>
      </c>
      <c r="Y104" s="64">
        <f t="shared" si="130"/>
        <v>3.5647308523019219</v>
      </c>
    </row>
    <row r="105" spans="1:25">
      <c r="A105" t="str">
        <f t="shared" si="41"/>
        <v>37 Office of the Financial and Program Auditor</v>
      </c>
      <c r="B105" t="str">
        <f t="shared" ref="B105" si="131">B17</f>
        <v>037</v>
      </c>
      <c r="C105" s="64">
        <f t="shared" ref="C105" si="132">C17/1000000*$J$3/C$3</f>
        <v>0.36269662369781402</v>
      </c>
      <c r="D105" s="64">
        <f t="shared" ref="D105" si="133">D17/1000000*$J$3/D$3</f>
        <v>0.35611427675523077</v>
      </c>
      <c r="E105" s="64">
        <f t="shared" ref="E105" si="134">E17/1000000*$J$3/E$3</f>
        <v>0.35529455087949957</v>
      </c>
      <c r="F105" s="64">
        <f t="shared" ref="F105" si="135">F17/1000000*$J$3/F$3</f>
        <v>0.22711657648794886</v>
      </c>
      <c r="G105" s="64">
        <f t="shared" ref="G105" si="136">G17/1000000*$J$3/G$3</f>
        <v>0.35206492867683226</v>
      </c>
      <c r="H105" s="64">
        <f t="shared" ref="H105" si="137">H17/1000000*$J$3/H$3</f>
        <v>0.35206492867683226</v>
      </c>
      <c r="I105" s="64">
        <f t="shared" ref="I105" si="138">I17/1000000*$J$3/I$3</f>
        <v>0.23826700000000001</v>
      </c>
      <c r="J105" s="64">
        <f t="shared" ref="J105:Y105" si="139">J17/1000000*$J$3/J$3</f>
        <v>0.35402</v>
      </c>
      <c r="K105" s="64">
        <f t="shared" si="139"/>
        <v>0.28888962303571653</v>
      </c>
      <c r="L105" s="64">
        <f t="shared" si="139"/>
        <v>0.32834505927530744</v>
      </c>
      <c r="M105" s="64">
        <f t="shared" si="139"/>
        <v>0.29404268978649789</v>
      </c>
      <c r="N105" s="64">
        <f t="shared" si="139"/>
        <v>0.15742277627230314</v>
      </c>
      <c r="O105" s="64">
        <f t="shared" si="139"/>
        <v>0.25045897890262908</v>
      </c>
      <c r="P105" s="64">
        <f t="shared" si="139"/>
        <v>0.23912548632392491</v>
      </c>
      <c r="Q105" s="64">
        <f t="shared" si="139"/>
        <v>0.24495802782439963</v>
      </c>
      <c r="R105" s="64">
        <f t="shared" si="139"/>
        <v>0.22910447843667328</v>
      </c>
      <c r="S105" s="64">
        <f t="shared" si="139"/>
        <v>0.2001190334220857</v>
      </c>
      <c r="T105" s="64">
        <f t="shared" si="139"/>
        <v>0.22131134538909478</v>
      </c>
      <c r="U105" s="64">
        <f t="shared" si="139"/>
        <v>0.22160177792481886</v>
      </c>
      <c r="V105" s="64">
        <f t="shared" si="139"/>
        <v>0.22007909942004819</v>
      </c>
      <c r="W105" s="64">
        <f t="shared" si="139"/>
        <v>0.21490858413984568</v>
      </c>
      <c r="X105" s="64">
        <f t="shared" si="139"/>
        <v>0.21181700431475031</v>
      </c>
      <c r="Y105" s="64">
        <f t="shared" si="139"/>
        <v>0.21664059122248902</v>
      </c>
    </row>
    <row r="106" spans="1:25">
      <c r="A106" t="str">
        <f t="shared" si="41"/>
        <v>41 Civil Service Commission</v>
      </c>
      <c r="B106" t="str">
        <f t="shared" ref="B106" si="140">B18</f>
        <v>041</v>
      </c>
      <c r="C106" s="64">
        <f t="shared" ref="C106" si="141">C18/1000000*$J$3/C$3</f>
        <v>0.42157043286797868</v>
      </c>
      <c r="D106" s="64">
        <f t="shared" ref="D106" si="142">D18/1000000*$J$3/D$3</f>
        <v>0.41527099948730845</v>
      </c>
      <c r="E106" s="64">
        <f t="shared" ref="E106" si="143">E18/1000000*$J$3/E$3</f>
        <v>0.41439127006459331</v>
      </c>
      <c r="F106" s="64">
        <f t="shared" ref="F106" si="144">F18/1000000*$J$3/F$3</f>
        <v>0.36420363994097393</v>
      </c>
      <c r="G106" s="64">
        <f t="shared" ref="G106" si="145">G18/1000000*$J$3/G$3</f>
        <v>0.40922577471716676</v>
      </c>
      <c r="H106" s="64">
        <f t="shared" ref="H106" si="146">H18/1000000*$J$3/H$3</f>
        <v>0.40922577471716676</v>
      </c>
      <c r="I106" s="64">
        <f t="shared" ref="I106" si="147">I18/1000000*$J$3/I$3</f>
        <v>0.389818</v>
      </c>
      <c r="J106" s="64">
        <f t="shared" ref="J106:Y106" si="148">J18/1000000*$J$3/J$3</f>
        <v>0.41084900000000002</v>
      </c>
      <c r="K106" s="64">
        <f t="shared" si="148"/>
        <v>0.37957627859852588</v>
      </c>
      <c r="L106" s="64">
        <f t="shared" si="148"/>
        <v>0.35557250200444479</v>
      </c>
      <c r="M106" s="64">
        <f t="shared" si="148"/>
        <v>0.36166019482749046</v>
      </c>
      <c r="N106" s="64">
        <f t="shared" si="148"/>
        <v>0.39199195194277314</v>
      </c>
      <c r="O106" s="64">
        <f t="shared" si="148"/>
        <v>0.41324909430230378</v>
      </c>
      <c r="P106" s="64">
        <f t="shared" si="148"/>
        <v>0.33404074240024528</v>
      </c>
      <c r="Q106" s="64">
        <f t="shared" si="148"/>
        <v>0.25669310475526746</v>
      </c>
      <c r="R106" s="64">
        <f t="shared" si="148"/>
        <v>0.26193283297701725</v>
      </c>
      <c r="S106" s="64">
        <f t="shared" si="148"/>
        <v>0.202629430765489</v>
      </c>
      <c r="T106" s="64">
        <f t="shared" si="148"/>
        <v>0.23893684802541026</v>
      </c>
      <c r="U106" s="64">
        <f t="shared" si="148"/>
        <v>0.26770871960235515</v>
      </c>
      <c r="V106" s="64">
        <f t="shared" si="148"/>
        <v>0.22469802073744674</v>
      </c>
      <c r="W106" s="64">
        <f t="shared" si="148"/>
        <v>0.23145872801054021</v>
      </c>
      <c r="X106" s="64">
        <f t="shared" si="148"/>
        <v>0.2224728813637244</v>
      </c>
      <c r="Y106" s="64">
        <f t="shared" si="148"/>
        <v>0.22321549064125654</v>
      </c>
    </row>
    <row r="107" spans="1:25">
      <c r="A107" t="str">
        <f t="shared" si="41"/>
        <v>57 Department of Tax Administration</v>
      </c>
      <c r="B107" t="str">
        <f t="shared" ref="B107" si="149">B19</f>
        <v>057</v>
      </c>
      <c r="C107" s="64">
        <f t="shared" ref="C107" si="150">C19/1000000*$J$3/C$3</f>
        <v>23.198303609079439</v>
      </c>
      <c r="D107" s="64">
        <f t="shared" ref="D107" si="151">D19/1000000*$J$3/D$3</f>
        <v>22.859148689999177</v>
      </c>
      <c r="E107" s="64">
        <f t="shared" ref="E107" si="152">E19/1000000*$J$3/E$3</f>
        <v>22.815542563927366</v>
      </c>
      <c r="F107" s="64">
        <f t="shared" ref="F107" si="153">F19/1000000*$J$3/F$3</f>
        <v>22.712744712247908</v>
      </c>
      <c r="G107" s="64">
        <f t="shared" ref="G107" si="154">G19/1000000*$J$3/G$3</f>
        <v>23.036537137235616</v>
      </c>
      <c r="H107" s="64">
        <f t="shared" ref="H107" si="155">H19/1000000*$J$3/H$3</f>
        <v>22.658157402852925</v>
      </c>
      <c r="I107" s="64">
        <f t="shared" ref="I107" si="156">I19/1000000*$J$3/I$3</f>
        <v>22.816026000000001</v>
      </c>
      <c r="J107" s="64">
        <f t="shared" ref="J107:Y107" si="157">J19/1000000*$J$3/J$3</f>
        <v>23.345271</v>
      </c>
      <c r="K107" s="64">
        <f t="shared" si="157"/>
        <v>21.771009501564848</v>
      </c>
      <c r="L107" s="64">
        <f t="shared" si="157"/>
        <v>22.698311369375713</v>
      </c>
      <c r="M107" s="64">
        <f t="shared" si="157"/>
        <v>22.701399631232892</v>
      </c>
      <c r="N107" s="64">
        <f t="shared" si="157"/>
        <v>23.720234114755691</v>
      </c>
      <c r="O107" s="64">
        <f t="shared" si="157"/>
        <v>26.783664302755081</v>
      </c>
      <c r="P107" s="64">
        <f t="shared" si="157"/>
        <v>26.644000612059134</v>
      </c>
      <c r="Q107" s="64">
        <f t="shared" si="157"/>
        <v>26.364183908562506</v>
      </c>
      <c r="R107" s="64">
        <f t="shared" si="157"/>
        <v>25.668212813756618</v>
      </c>
      <c r="S107" s="64">
        <f t="shared" si="157"/>
        <v>25.406315701818571</v>
      </c>
      <c r="T107" s="64">
        <f t="shared" si="157"/>
        <v>24.140276412376924</v>
      </c>
      <c r="U107" s="64">
        <f t="shared" si="157"/>
        <v>25.085065997744564</v>
      </c>
      <c r="V107" s="64">
        <f t="shared" si="157"/>
        <v>24.962248340668893</v>
      </c>
      <c r="W107" s="64">
        <f t="shared" si="157"/>
        <v>25.013372267632224</v>
      </c>
      <c r="X107" s="64">
        <f t="shared" si="157"/>
        <v>23.444773080330044</v>
      </c>
      <c r="Y107" s="64">
        <f t="shared" si="157"/>
        <v>23.946279607053825</v>
      </c>
    </row>
    <row r="108" spans="1:25">
      <c r="A108" t="str">
        <f t="shared" si="41"/>
        <v>70 Department of Information Technology</v>
      </c>
      <c r="B108" t="str">
        <f t="shared" ref="B108:B109" si="158">B20</f>
        <v>070</v>
      </c>
      <c r="C108" s="64">
        <f t="shared" ref="C108" si="159">C20/1000000*$J$3/C$3</f>
        <v>31.259537717467129</v>
      </c>
      <c r="D108" s="64">
        <f t="shared" ref="D108" si="160">D20/1000000*$J$3/D$3</f>
        <v>30.281140328698459</v>
      </c>
      <c r="E108" s="64">
        <f t="shared" ref="E108" si="161">E20/1000000*$J$3/E$3</f>
        <v>30.204441278665907</v>
      </c>
      <c r="F108" s="64">
        <f t="shared" ref="F108" si="162">F20/1000000*$J$3/F$3</f>
        <v>32.659849483521889</v>
      </c>
      <c r="G108" s="64">
        <f t="shared" ref="G108" si="163">G20/1000000*$J$3/G$3</f>
        <v>34.425818986719136</v>
      </c>
      <c r="H108" s="64">
        <f t="shared" ref="H108" si="164">H20/1000000*$J$3/H$3</f>
        <v>30.973175602557795</v>
      </c>
      <c r="I108" s="64">
        <f t="shared" ref="I108" si="165">I20/1000000*$J$3/I$3</f>
        <v>30.710117</v>
      </c>
      <c r="J108" s="64">
        <f t="shared" ref="J108:Y108" si="166">J20/1000000*$J$3/J$3</f>
        <v>34.291181000000002</v>
      </c>
      <c r="K108" s="64">
        <f t="shared" si="166"/>
        <v>29.313412923392544</v>
      </c>
      <c r="L108" s="64">
        <f t="shared" si="166"/>
        <v>30.7736392784456</v>
      </c>
      <c r="M108" s="64">
        <f t="shared" si="166"/>
        <v>28.180616097765697</v>
      </c>
      <c r="N108" s="64">
        <f t="shared" si="166"/>
        <v>28.099980221108339</v>
      </c>
      <c r="O108" s="64">
        <f t="shared" si="166"/>
        <v>31.62954285658962</v>
      </c>
      <c r="P108" s="64">
        <f t="shared" si="166"/>
        <v>30.674969797158735</v>
      </c>
      <c r="Q108" s="64">
        <f t="shared" si="166"/>
        <v>28.783102045244089</v>
      </c>
      <c r="R108" s="64">
        <f t="shared" si="166"/>
        <v>28.38817750009094</v>
      </c>
      <c r="S108" s="64">
        <f t="shared" si="166"/>
        <v>29.161859218049159</v>
      </c>
      <c r="T108" s="64">
        <f t="shared" si="166"/>
        <v>28.567959579691195</v>
      </c>
      <c r="U108" s="64">
        <f t="shared" si="166"/>
        <v>26.784063568479169</v>
      </c>
      <c r="V108" s="64">
        <f t="shared" si="166"/>
        <v>26.060455442854362</v>
      </c>
      <c r="W108" s="64">
        <f t="shared" si="166"/>
        <v>22.363790612689634</v>
      </c>
      <c r="X108" s="64">
        <f t="shared" si="166"/>
        <v>19.690746502094466</v>
      </c>
      <c r="Y108" s="64">
        <f t="shared" si="166"/>
        <v>17.503941073736495</v>
      </c>
    </row>
    <row r="109" spans="1:25">
      <c r="A109" t="str">
        <f t="shared" si="41"/>
        <v>88 Contributory Agencies</v>
      </c>
      <c r="B109" t="str">
        <f t="shared" si="158"/>
        <v>088</v>
      </c>
      <c r="C109" s="64">
        <f t="shared" ref="C109" si="167">C21/1000000*$J$3/C$3</f>
        <v>0</v>
      </c>
      <c r="D109" s="64">
        <f t="shared" ref="D109" si="168">D21/1000000*$J$3/D$3</f>
        <v>0</v>
      </c>
      <c r="E109" s="64">
        <f t="shared" ref="E109" si="169">E21/1000000*$J$3/E$3</f>
        <v>0</v>
      </c>
      <c r="F109" s="64">
        <f t="shared" ref="F109" si="170">F21/1000000*$J$3/F$3</f>
        <v>0</v>
      </c>
      <c r="G109" s="64">
        <f t="shared" ref="G109" si="171">G21/1000000*$J$3/G$3</f>
        <v>0</v>
      </c>
      <c r="H109" s="64">
        <f t="shared" ref="H109" si="172">H21/1000000*$J$3/H$3</f>
        <v>0</v>
      </c>
      <c r="I109" s="64">
        <f t="shared" ref="I109" si="173">I21/1000000*$J$3/I$3</f>
        <v>0</v>
      </c>
      <c r="J109" s="64">
        <f t="shared" ref="J109:Y109" si="174">J21/1000000*$J$3/J$3</f>
        <v>0</v>
      </c>
      <c r="K109" s="64">
        <f t="shared" si="174"/>
        <v>0</v>
      </c>
      <c r="L109" s="64">
        <f t="shared" si="174"/>
        <v>0</v>
      </c>
      <c r="M109" s="64">
        <f t="shared" si="174"/>
        <v>0</v>
      </c>
      <c r="N109" s="64">
        <f t="shared" si="174"/>
        <v>0</v>
      </c>
      <c r="O109" s="64">
        <f t="shared" si="174"/>
        <v>0</v>
      </c>
      <c r="P109" s="64">
        <f t="shared" si="174"/>
        <v>0</v>
      </c>
      <c r="Q109" s="64">
        <f t="shared" si="174"/>
        <v>0</v>
      </c>
      <c r="R109" s="64">
        <f t="shared" si="174"/>
        <v>0</v>
      </c>
      <c r="S109" s="64">
        <f t="shared" si="174"/>
        <v>0</v>
      </c>
      <c r="T109" s="64">
        <f t="shared" si="174"/>
        <v>0</v>
      </c>
      <c r="U109" s="64">
        <f t="shared" si="174"/>
        <v>0</v>
      </c>
      <c r="V109" s="64">
        <f t="shared" si="174"/>
        <v>0</v>
      </c>
      <c r="W109" s="64">
        <f t="shared" si="174"/>
        <v>0</v>
      </c>
      <c r="X109" s="64">
        <f t="shared" si="174"/>
        <v>2.0369854853648861</v>
      </c>
      <c r="Y109" s="64">
        <f t="shared" si="174"/>
        <v>1.9823542000320131</v>
      </c>
    </row>
    <row r="110" spans="1:25">
      <c r="A110" t="str">
        <f t="shared" si="41"/>
        <v>Total Legislative-Executive Functions / Central Services</v>
      </c>
      <c r="C110" s="64">
        <f t="shared" ref="C110" si="175">C22/1000000*$J$3/C$3</f>
        <v>104.46695528752859</v>
      </c>
      <c r="D110" s="64">
        <f t="shared" ref="D110" si="176">D22/1000000*$J$3/D$3</f>
        <v>102.13138889581133</v>
      </c>
      <c r="E110" s="64">
        <f t="shared" ref="E110" si="177">E22/1000000*$J$3/E$3</f>
        <v>101.80981633833679</v>
      </c>
      <c r="F110" s="64">
        <f t="shared" ref="F110" si="178">F22/1000000*$J$3/F$3</f>
        <v>101.20491490408264</v>
      </c>
      <c r="G110" s="64">
        <f t="shared" ref="G110" si="179">G22/1000000*$J$3/G$3</f>
        <v>109.31370683718643</v>
      </c>
      <c r="H110" s="64">
        <f t="shared" ref="H110" si="180">H22/1000000*$J$3/H$3</f>
        <v>103.15738809640925</v>
      </c>
      <c r="I110" s="64">
        <f t="shared" ref="I110" si="181">I22/1000000*$J$3/I$3</f>
        <v>99.848181999999994</v>
      </c>
      <c r="J110" s="64">
        <f t="shared" ref="J110:Y110" si="182">J22/1000000*$J$3/J$3</f>
        <v>109.751124</v>
      </c>
      <c r="K110" s="64">
        <f t="shared" si="182"/>
        <v>99.563462426997816</v>
      </c>
      <c r="L110" s="64">
        <f t="shared" si="182"/>
        <v>102.06302800078326</v>
      </c>
      <c r="M110" s="64">
        <f t="shared" si="182"/>
        <v>97.786325006008298</v>
      </c>
      <c r="N110" s="64">
        <f t="shared" si="182"/>
        <v>99.875153707150147</v>
      </c>
      <c r="O110" s="64">
        <f t="shared" si="182"/>
        <v>112.44771277462708</v>
      </c>
      <c r="P110" s="64">
        <f t="shared" si="182"/>
        <v>111.60412829791737</v>
      </c>
      <c r="Q110" s="64">
        <f t="shared" si="182"/>
        <v>107.56347423558582</v>
      </c>
      <c r="R110" s="64">
        <f t="shared" si="182"/>
        <v>106.30685357628887</v>
      </c>
      <c r="S110" s="64">
        <f t="shared" si="182"/>
        <v>106.21903539068443</v>
      </c>
      <c r="T110" s="64">
        <f t="shared" si="182"/>
        <v>105.62011647012089</v>
      </c>
      <c r="U110" s="64">
        <f t="shared" si="182"/>
        <v>102.24948456432249</v>
      </c>
      <c r="V110" s="64">
        <f t="shared" si="182"/>
        <v>101.01279835909212</v>
      </c>
      <c r="W110" s="64">
        <f t="shared" si="182"/>
        <v>95.60712001270376</v>
      </c>
      <c r="X110" s="64">
        <f t="shared" si="182"/>
        <v>89.623165544320571</v>
      </c>
      <c r="Y110" s="64">
        <f t="shared" si="182"/>
        <v>85.626128652135861</v>
      </c>
    </row>
    <row r="111" spans="1:25">
      <c r="C111" s="64"/>
      <c r="D111" s="64"/>
      <c r="E111" s="64"/>
      <c r="F111" s="64"/>
      <c r="G111" s="64"/>
      <c r="H111" s="64"/>
      <c r="I111" s="64"/>
      <c r="J111" s="64"/>
      <c r="K111" s="64"/>
      <c r="L111" s="64"/>
      <c r="M111" s="64"/>
      <c r="N111" s="64"/>
      <c r="O111" s="64"/>
      <c r="P111" s="64"/>
      <c r="Q111" s="64"/>
      <c r="R111" s="64"/>
      <c r="S111" s="64"/>
      <c r="T111" s="64"/>
      <c r="U111" s="64"/>
      <c r="V111" s="64"/>
      <c r="W111" s="64"/>
      <c r="X111" s="64"/>
      <c r="Y111" s="64"/>
    </row>
    <row r="112" spans="1:25">
      <c r="A112" t="str">
        <f t="shared" ref="A112:A117" si="183">A23</f>
        <v>Judicial Administration</v>
      </c>
      <c r="C112" s="64"/>
      <c r="D112" s="64"/>
      <c r="E112" s="64"/>
      <c r="F112" s="64"/>
      <c r="G112" s="64"/>
      <c r="H112" s="64"/>
      <c r="I112" s="64"/>
      <c r="J112" s="64"/>
      <c r="K112" s="64"/>
      <c r="L112" s="64"/>
      <c r="M112" s="64"/>
      <c r="N112" s="64"/>
      <c r="O112" s="64"/>
      <c r="P112" s="64"/>
      <c r="Q112" s="64"/>
      <c r="R112" s="64"/>
      <c r="S112" s="64"/>
      <c r="T112" s="64"/>
      <c r="U112" s="64"/>
      <c r="V112" s="64"/>
      <c r="W112" s="64"/>
      <c r="X112" s="64"/>
      <c r="Y112" s="64"/>
    </row>
    <row r="113" spans="1:25">
      <c r="A113" t="str">
        <f t="shared" si="183"/>
        <v>80 Circuit Court and Records</v>
      </c>
      <c r="B113" t="str">
        <f>B24</f>
        <v>080</v>
      </c>
      <c r="C113" s="64">
        <f t="shared" ref="C113" si="184">C24/1000000*$J$3/C$3</f>
        <v>10.671987287795336</v>
      </c>
      <c r="D113" s="64">
        <f t="shared" ref="D113" si="185">D24/1000000*$J$3/D$3</f>
        <v>10.488663563741309</v>
      </c>
      <c r="E113" s="64">
        <f t="shared" ref="E113" si="186">E24/1000000*$J$3/E$3</f>
        <v>10.466908406763077</v>
      </c>
      <c r="F113" s="64">
        <f t="shared" ref="F113" si="187">F24/1000000*$J$3/F$3</f>
        <v>10.399057550418101</v>
      </c>
      <c r="G113" s="64">
        <f t="shared" ref="G113" si="188">G24/1000000*$J$3/G$3</f>
        <v>10.561605509099852</v>
      </c>
      <c r="H113" s="64">
        <f t="shared" ref="H113" si="189">H24/1000000*$J$3/H$3</f>
        <v>10.482834235120512</v>
      </c>
      <c r="I113" s="64">
        <f t="shared" ref="I113" si="190">I24/1000000*$J$3/I$3</f>
        <v>10.526463</v>
      </c>
      <c r="J113" s="64">
        <f t="shared" ref="J113:Y113" si="191">J24/1000000*$J$3/J$3</f>
        <v>10.638203000000001</v>
      </c>
      <c r="K113" s="64">
        <f t="shared" si="191"/>
        <v>10.485956148591033</v>
      </c>
      <c r="L113" s="64">
        <f t="shared" si="191"/>
        <v>10.295474995009666</v>
      </c>
      <c r="M113" s="64">
        <f t="shared" si="191"/>
        <v>10.538306245000316</v>
      </c>
      <c r="N113" s="64">
        <f t="shared" si="191"/>
        <v>10.700322522843519</v>
      </c>
      <c r="O113" s="64">
        <f t="shared" si="191"/>
        <v>11.29321459228478</v>
      </c>
      <c r="P113" s="64">
        <f t="shared" si="191"/>
        <v>11.280413523261792</v>
      </c>
      <c r="Q113" s="64">
        <f t="shared" si="191"/>
        <v>11.247045931846097</v>
      </c>
      <c r="R113" s="64">
        <f t="shared" si="191"/>
        <v>11.222551960885419</v>
      </c>
      <c r="S113" s="64">
        <f t="shared" si="191"/>
        <v>10.999168379195257</v>
      </c>
      <c r="T113" s="64">
        <f t="shared" si="191"/>
        <v>11.050661287631904</v>
      </c>
      <c r="U113" s="64">
        <f t="shared" si="191"/>
        <v>10.838046751577901</v>
      </c>
      <c r="V113" s="64">
        <f t="shared" si="191"/>
        <v>11.146569101422088</v>
      </c>
      <c r="W113" s="64">
        <f t="shared" si="191"/>
        <v>10.52564420537079</v>
      </c>
      <c r="X113" s="64">
        <f t="shared" si="191"/>
        <v>10.431493231073366</v>
      </c>
      <c r="Y113" s="64">
        <f t="shared" si="191"/>
        <v>9.8014897447048845</v>
      </c>
    </row>
    <row r="114" spans="1:25">
      <c r="A114" t="str">
        <f t="shared" si="183"/>
        <v>82 Office of the Commonwealth's Attorney</v>
      </c>
      <c r="B114" t="str">
        <f>B25</f>
        <v>082</v>
      </c>
      <c r="C114" s="64">
        <f t="shared" ref="C114" si="192">C25/1000000*$J$3/C$3</f>
        <v>3.6845742415241318</v>
      </c>
      <c r="D114" s="64">
        <f t="shared" ref="D114" si="193">D25/1000000*$J$3/D$3</f>
        <v>3.5985240095241116</v>
      </c>
      <c r="E114" s="64">
        <f t="shared" ref="E114" si="194">E25/1000000*$J$3/E$3</f>
        <v>3.5899493091002883</v>
      </c>
      <c r="F114" s="64">
        <f t="shared" ref="F114" si="195">F25/1000000*$J$3/F$3</f>
        <v>3.3213034923757991</v>
      </c>
      <c r="G114" s="64">
        <f t="shared" ref="G114" si="196">G25/1000000*$J$3/G$3</f>
        <v>3.4766148548942448</v>
      </c>
      <c r="H114" s="64">
        <f t="shared" ref="H114" si="197">H25/1000000*$J$3/H$3</f>
        <v>3.4724053123462859</v>
      </c>
      <c r="I114" s="64">
        <f t="shared" ref="I114" si="198">I25/1000000*$J$3/I$3</f>
        <v>2.7502059999999999</v>
      </c>
      <c r="J114" s="64">
        <f t="shared" ref="J114:Y114" si="199">J25/1000000*$J$3/J$3</f>
        <v>2.7297509999999998</v>
      </c>
      <c r="K114" s="64">
        <f t="shared" si="199"/>
        <v>2.6961249707024009</v>
      </c>
      <c r="L114" s="64">
        <f t="shared" si="199"/>
        <v>2.6272265351020114</v>
      </c>
      <c r="M114" s="64">
        <f t="shared" si="199"/>
        <v>2.6221442881416084</v>
      </c>
      <c r="N114" s="64">
        <f t="shared" si="199"/>
        <v>2.7524248928891355</v>
      </c>
      <c r="O114" s="64">
        <f t="shared" si="199"/>
        <v>2.7653011520141821</v>
      </c>
      <c r="P114" s="64">
        <f t="shared" si="199"/>
        <v>2.5170399533595291</v>
      </c>
      <c r="Q114" s="64">
        <f t="shared" si="199"/>
        <v>2.2577235306201024</v>
      </c>
      <c r="R114" s="64">
        <f t="shared" si="199"/>
        <v>2.227824719858631</v>
      </c>
      <c r="S114" s="64">
        <f t="shared" si="199"/>
        <v>2.2393774644896745</v>
      </c>
      <c r="T114" s="64">
        <f t="shared" si="199"/>
        <v>2.186360637851597</v>
      </c>
      <c r="U114" s="64">
        <f t="shared" si="199"/>
        <v>2.1691890495842392</v>
      </c>
      <c r="V114" s="64">
        <f t="shared" si="199"/>
        <v>2.0850389836816747</v>
      </c>
      <c r="W114" s="64">
        <f t="shared" si="199"/>
        <v>2.0605764579794843</v>
      </c>
      <c r="X114" s="64">
        <f t="shared" si="199"/>
        <v>2.1284712283788236</v>
      </c>
      <c r="Y114" s="64">
        <f t="shared" si="199"/>
        <v>2.0868065734003607</v>
      </c>
    </row>
    <row r="115" spans="1:25">
      <c r="A115" t="str">
        <f t="shared" si="183"/>
        <v>85 General District Court</v>
      </c>
      <c r="B115" t="str">
        <f>B26</f>
        <v>085</v>
      </c>
      <c r="C115" s="64">
        <f t="shared" ref="C115" si="200">C26/1000000*$J$3/C$3</f>
        <v>2.3205734581721726</v>
      </c>
      <c r="D115" s="64">
        <f t="shared" ref="D115" si="201">D26/1000000*$J$3/D$3</f>
        <v>2.2945017636929665</v>
      </c>
      <c r="E115" s="64">
        <f t="shared" ref="E115" si="202">E26/1000000*$J$3/E$3</f>
        <v>2.1445509641819953</v>
      </c>
      <c r="F115" s="64">
        <f t="shared" ref="F115" si="203">F26/1000000*$J$3/F$3</f>
        <v>2.0639478603049679</v>
      </c>
      <c r="G115" s="64">
        <f t="shared" ref="G115" si="204">G26/1000000*$J$3/G$3</f>
        <v>2.3210152484013773</v>
      </c>
      <c r="H115" s="64">
        <f t="shared" ref="H115" si="205">H26/1000000*$J$3/H$3</f>
        <v>2.2002272503689131</v>
      </c>
      <c r="I115" s="64">
        <f t="shared" ref="I115" si="206">I26/1000000*$J$3/I$3</f>
        <v>2.0874700000000002</v>
      </c>
      <c r="J115" s="64">
        <f t="shared" ref="J115:Y115" si="207">J26/1000000*$J$3/J$3</f>
        <v>2.2457609999999999</v>
      </c>
      <c r="K115" s="64">
        <f t="shared" si="207"/>
        <v>2.0829070068120559</v>
      </c>
      <c r="L115" s="64">
        <f t="shared" si="207"/>
        <v>2.1926690839217211</v>
      </c>
      <c r="M115" s="64">
        <f t="shared" si="207"/>
        <v>2.2662483361716315</v>
      </c>
      <c r="N115" s="64">
        <f t="shared" si="207"/>
        <v>2.5218976548333152</v>
      </c>
      <c r="O115" s="64">
        <f t="shared" si="207"/>
        <v>2.6562392231510961</v>
      </c>
      <c r="P115" s="64">
        <f t="shared" si="207"/>
        <v>2.4950896596099454</v>
      </c>
      <c r="Q115" s="64">
        <f t="shared" si="207"/>
        <v>2.4614672101302841</v>
      </c>
      <c r="R115" s="64">
        <f t="shared" si="207"/>
        <v>2.352219241720404</v>
      </c>
      <c r="S115" s="64">
        <f t="shared" si="207"/>
        <v>2.0965042180977984</v>
      </c>
      <c r="T115" s="64">
        <f t="shared" si="207"/>
        <v>1.9180266470972296</v>
      </c>
      <c r="U115" s="64">
        <f t="shared" si="207"/>
        <v>2.0242177395217396</v>
      </c>
      <c r="V115" s="64">
        <f t="shared" si="207"/>
        <v>2.0494061770057441</v>
      </c>
      <c r="W115" s="64">
        <f t="shared" si="207"/>
        <v>2.0387421917664224</v>
      </c>
      <c r="X115" s="64">
        <f t="shared" si="207"/>
        <v>2.1153228851848631</v>
      </c>
      <c r="Y115" s="64">
        <f t="shared" si="207"/>
        <v>1.7150725313325332</v>
      </c>
    </row>
    <row r="116" spans="1:25">
      <c r="A116" t="str">
        <f t="shared" si="183"/>
        <v>91 Office of the Sheriff</v>
      </c>
      <c r="B116" t="str">
        <f>B27</f>
        <v>091</v>
      </c>
      <c r="C116" s="64">
        <f t="shared" ref="C116" si="208">C27/1000000*$J$3/C$3</f>
        <v>18.234246196062468</v>
      </c>
      <c r="D116" s="64">
        <f t="shared" ref="D116" si="209">D27/1000000*$J$3/D$3</f>
        <v>17.984735387987048</v>
      </c>
      <c r="E116" s="64">
        <f t="shared" ref="E116" si="210">E27/1000000*$J$3/E$3</f>
        <v>17.949563631463054</v>
      </c>
      <c r="F116" s="64">
        <f t="shared" ref="F116" si="211">F27/1000000*$J$3/F$3</f>
        <v>19.753903590752582</v>
      </c>
      <c r="G116" s="64">
        <f t="shared" ref="G116" si="212">G27/1000000*$J$3/G$3</f>
        <v>18.516793900639449</v>
      </c>
      <c r="H116" s="64">
        <f t="shared" ref="H116" si="213">H27/1000000*$J$3/H$3</f>
        <v>17.915926217412689</v>
      </c>
      <c r="I116" s="64">
        <f t="shared" ref="I116" si="214">I27/1000000*$J$3/I$3</f>
        <v>19.029729</v>
      </c>
      <c r="J116" s="64">
        <f t="shared" ref="J116:Y116" si="215">J27/1000000*$J$3/J$3</f>
        <v>18.619665000000001</v>
      </c>
      <c r="K116" s="64">
        <f t="shared" si="215"/>
        <v>18.72949193562906</v>
      </c>
      <c r="L116" s="64">
        <f t="shared" si="215"/>
        <v>16.865376705333727</v>
      </c>
      <c r="M116" s="64">
        <f t="shared" si="215"/>
        <v>17.751146377619136</v>
      </c>
      <c r="N116" s="64">
        <f t="shared" si="215"/>
        <v>17.87316368726994</v>
      </c>
      <c r="O116" s="64">
        <f t="shared" si="215"/>
        <v>20.221081359357594</v>
      </c>
      <c r="P116" s="64">
        <f t="shared" si="215"/>
        <v>21.151150439718293</v>
      </c>
      <c r="Q116" s="64">
        <f t="shared" si="215"/>
        <v>20.365668831429073</v>
      </c>
      <c r="R116" s="64">
        <f t="shared" si="215"/>
        <v>19.236173365481154</v>
      </c>
      <c r="S116" s="64">
        <f t="shared" si="215"/>
        <v>18.050516927623317</v>
      </c>
      <c r="T116" s="64">
        <f t="shared" si="215"/>
        <v>17.636521081934006</v>
      </c>
      <c r="U116" s="64">
        <f t="shared" si="215"/>
        <v>19.581674483950184</v>
      </c>
      <c r="V116" s="64">
        <f t="shared" si="215"/>
        <v>18.534566646901055</v>
      </c>
      <c r="W116" s="64">
        <f t="shared" si="215"/>
        <v>16.810182041072842</v>
      </c>
      <c r="X116" s="64">
        <f t="shared" si="215"/>
        <v>14.044477570361016</v>
      </c>
      <c r="Y116" s="64">
        <f t="shared" si="215"/>
        <v>13.399112145925372</v>
      </c>
    </row>
    <row r="117" spans="1:25">
      <c r="A117" t="str">
        <f t="shared" si="183"/>
        <v>Total Judicial Administration</v>
      </c>
      <c r="C117" s="64">
        <f t="shared" ref="C117" si="216">C28/1000000*$J$3/C$3</f>
        <v>34.911381183554106</v>
      </c>
      <c r="D117" s="64">
        <f t="shared" ref="D117" si="217">D28/1000000*$J$3/D$3</f>
        <v>34.366424724945432</v>
      </c>
      <c r="E117" s="64">
        <f t="shared" ref="E117" si="218">E28/1000000*$J$3/E$3</f>
        <v>34.150972311508418</v>
      </c>
      <c r="F117" s="64">
        <f t="shared" ref="F117" si="219">F28/1000000*$J$3/F$3</f>
        <v>35.538212493851447</v>
      </c>
      <c r="G117" s="64">
        <f t="shared" ref="G117" si="220">G28/1000000*$J$3/G$3</f>
        <v>34.876029513034922</v>
      </c>
      <c r="H117" s="64">
        <f t="shared" ref="H117" si="221">H28/1000000*$J$3/H$3</f>
        <v>34.071393015248404</v>
      </c>
      <c r="I117" s="64">
        <f t="shared" ref="I117" si="222">I28/1000000*$J$3/I$3</f>
        <v>34.393867999999998</v>
      </c>
      <c r="J117" s="64">
        <f t="shared" ref="J117:Y117" si="223">J28/1000000*$J$3/J$3</f>
        <v>34.233379999999997</v>
      </c>
      <c r="K117" s="64">
        <f t="shared" si="223"/>
        <v>33.994480061734549</v>
      </c>
      <c r="L117" s="64">
        <f t="shared" si="223"/>
        <v>31.980747319367129</v>
      </c>
      <c r="M117" s="64">
        <f t="shared" si="223"/>
        <v>33.177845246932691</v>
      </c>
      <c r="N117" s="64">
        <f t="shared" si="223"/>
        <v>33.847808757835907</v>
      </c>
      <c r="O117" s="64">
        <f t="shared" si="223"/>
        <v>36.93583632680766</v>
      </c>
      <c r="P117" s="64">
        <f t="shared" si="223"/>
        <v>37.44369357594956</v>
      </c>
      <c r="Q117" s="64">
        <f t="shared" si="223"/>
        <v>36.331905504025556</v>
      </c>
      <c r="R117" s="64">
        <f t="shared" si="223"/>
        <v>35.038769287945605</v>
      </c>
      <c r="S117" s="64">
        <f t="shared" si="223"/>
        <v>33.385566989406044</v>
      </c>
      <c r="T117" s="64">
        <f t="shared" si="223"/>
        <v>32.791569654514738</v>
      </c>
      <c r="U117" s="64">
        <f t="shared" si="223"/>
        <v>34.613128024634065</v>
      </c>
      <c r="V117" s="64">
        <f t="shared" si="223"/>
        <v>33.815580909010563</v>
      </c>
      <c r="W117" s="64">
        <f t="shared" si="223"/>
        <v>31.435144896189538</v>
      </c>
      <c r="X117" s="64">
        <f t="shared" si="223"/>
        <v>28.719764914998066</v>
      </c>
      <c r="Y117" s="64">
        <f t="shared" si="223"/>
        <v>27.002480995363147</v>
      </c>
    </row>
    <row r="118" spans="1:25">
      <c r="C118" s="64"/>
      <c r="D118" s="64"/>
      <c r="E118" s="64"/>
      <c r="F118" s="64"/>
      <c r="G118" s="64"/>
      <c r="H118" s="64"/>
      <c r="I118" s="64"/>
      <c r="J118" s="64"/>
      <c r="K118" s="64"/>
      <c r="L118" s="64"/>
      <c r="M118" s="64"/>
      <c r="N118" s="64"/>
      <c r="O118" s="64"/>
      <c r="P118" s="64"/>
      <c r="Q118" s="64"/>
      <c r="R118" s="64"/>
      <c r="S118" s="64"/>
      <c r="T118" s="64"/>
      <c r="U118" s="64"/>
      <c r="V118" s="64"/>
      <c r="W118" s="64"/>
      <c r="X118" s="64"/>
      <c r="Y118" s="64"/>
    </row>
    <row r="119" spans="1:25">
      <c r="A119" t="str">
        <f t="shared" ref="A119:A131" si="224">A29</f>
        <v>Public Safety</v>
      </c>
      <c r="C119" s="64"/>
      <c r="D119" s="64"/>
      <c r="E119" s="64"/>
      <c r="F119" s="64"/>
      <c r="G119" s="64"/>
      <c r="H119" s="64"/>
      <c r="I119" s="64"/>
      <c r="J119" s="64"/>
      <c r="K119" s="64"/>
      <c r="L119" s="64"/>
      <c r="M119" s="64"/>
      <c r="N119" s="64"/>
      <c r="O119" s="64"/>
      <c r="P119" s="64"/>
      <c r="Q119" s="64"/>
      <c r="R119" s="64"/>
      <c r="S119" s="64"/>
      <c r="T119" s="64"/>
      <c r="U119" s="64"/>
      <c r="V119" s="64"/>
      <c r="W119" s="64"/>
      <c r="X119" s="64"/>
      <c r="Y119" s="64"/>
    </row>
    <row r="120" spans="1:25">
      <c r="A120" t="str">
        <f t="shared" si="224"/>
        <v>04 Department of Cable and Consumer Services</v>
      </c>
      <c r="B120" t="str">
        <f t="shared" ref="B120:B130" si="225">B30</f>
        <v>004</v>
      </c>
      <c r="C120" s="64">
        <f t="shared" ref="C120" si="226">C30/1000000*$J$3/C$3</f>
        <v>0.77453157209827306</v>
      </c>
      <c r="D120" s="64">
        <f t="shared" ref="D120" si="227">D30/1000000*$J$3/D$3</f>
        <v>0.67569510358959128</v>
      </c>
      <c r="E120" s="64">
        <f t="shared" ref="E120" si="228">E30/1000000*$J$3/E$3</f>
        <v>0.67431792540639701</v>
      </c>
      <c r="F120" s="64">
        <f t="shared" ref="F120" si="229">F30/1000000*$J$3/F$3</f>
        <v>0.74458337432365962</v>
      </c>
      <c r="G120" s="64">
        <f t="shared" ref="G120" si="230">G30/1000000*$J$3/G$3</f>
        <v>0.66544712247909488</v>
      </c>
      <c r="H120" s="64">
        <f t="shared" ref="H120" si="231">H30/1000000*$J$3/H$3</f>
        <v>0.66544712247909488</v>
      </c>
      <c r="I120" s="64">
        <f t="shared" ref="I120" si="232">I30/1000000*$J$3/I$3</f>
        <v>0.74412599999999984</v>
      </c>
      <c r="J120" s="64">
        <f t="shared" ref="J120:Y120" si="233">J30/1000000*$J$3/J$3</f>
        <v>0.672678</v>
      </c>
      <c r="K120" s="64">
        <f t="shared" si="233"/>
        <v>0.67157350921289161</v>
      </c>
      <c r="L120" s="64">
        <f t="shared" si="233"/>
        <v>0.81696660591181447</v>
      </c>
      <c r="M120" s="64">
        <f t="shared" si="233"/>
        <v>0.90192561772405133</v>
      </c>
      <c r="N120" s="64">
        <f t="shared" si="233"/>
        <v>1.0082153599839798</v>
      </c>
      <c r="O120" s="64">
        <f t="shared" si="233"/>
        <v>1.1186166504876394</v>
      </c>
      <c r="P120" s="64">
        <f t="shared" si="233"/>
        <v>1.161480941994151</v>
      </c>
      <c r="Q120" s="64">
        <f t="shared" si="233"/>
        <v>1.1044696349332666</v>
      </c>
      <c r="R120" s="64">
        <f t="shared" si="233"/>
        <v>1.2166912022875331</v>
      </c>
      <c r="S120" s="64">
        <f t="shared" si="233"/>
        <v>0.99498768371565116</v>
      </c>
      <c r="T120" s="64">
        <f t="shared" si="233"/>
        <v>1.1278892998888301</v>
      </c>
      <c r="U120" s="64">
        <f t="shared" si="233"/>
        <v>1.3282005434257249</v>
      </c>
      <c r="V120" s="64">
        <f t="shared" si="233"/>
        <v>1.2349034864044841</v>
      </c>
      <c r="W120" s="64">
        <f t="shared" si="233"/>
        <v>1.173752885790514</v>
      </c>
      <c r="X120" s="64">
        <f t="shared" si="233"/>
        <v>1.3187854212717771</v>
      </c>
      <c r="Y120" s="64">
        <f t="shared" si="233"/>
        <v>1.0355360010654264</v>
      </c>
    </row>
    <row r="121" spans="1:25">
      <c r="A121" t="str">
        <f t="shared" si="224"/>
        <v>31 Land Development Services</v>
      </c>
      <c r="B121" t="str">
        <f t="shared" si="225"/>
        <v>031</v>
      </c>
      <c r="C121" s="64">
        <f t="shared" ref="C121" si="234">C31/1000000*$J$3/C$3</f>
        <v>9.9208879536073695</v>
      </c>
      <c r="D121" s="64">
        <f t="shared" ref="D121" si="235">D31/1000000*$J$3/D$3</f>
        <v>9.7793645382424632</v>
      </c>
      <c r="E121" s="64">
        <f t="shared" ref="E121" si="236">E31/1000000*$J$3/E$3</f>
        <v>9.7587736436355463</v>
      </c>
      <c r="F121" s="64">
        <f t="shared" ref="F121" si="237">F31/1000000*$J$3/F$3</f>
        <v>9.6587998032464331</v>
      </c>
      <c r="G121" s="64">
        <f t="shared" ref="G121" si="238">G31/1000000*$J$3/G$3</f>
        <v>9.4708529267092967</v>
      </c>
      <c r="H121" s="64">
        <f t="shared" ref="H121" si="239">H31/1000000*$J$3/H$3</f>
        <v>9.4476173143138205</v>
      </c>
      <c r="I121" s="64">
        <f t="shared" ref="I121" si="240">I31/1000000*$J$3/I$3</f>
        <v>9.80002</v>
      </c>
      <c r="J121" s="64">
        <f t="shared" ref="J121:Y121" si="241">J31/1000000*$J$3/J$3</f>
        <v>8.2903140000000004</v>
      </c>
      <c r="K121" s="64">
        <f t="shared" si="241"/>
        <v>8.9998612139918475</v>
      </c>
      <c r="L121" s="64">
        <f t="shared" si="241"/>
        <v>9.3245412527197455</v>
      </c>
      <c r="M121" s="64">
        <f t="shared" si="241"/>
        <v>8.7845587725096053</v>
      </c>
      <c r="N121" s="64">
        <f t="shared" si="241"/>
        <v>9.3032755870640269</v>
      </c>
      <c r="O121" s="64">
        <f t="shared" si="241"/>
        <v>11.05109236526722</v>
      </c>
      <c r="P121" s="64">
        <f t="shared" si="241"/>
        <v>11.925070219301018</v>
      </c>
      <c r="Q121" s="64">
        <f t="shared" si="241"/>
        <v>12.006519376330733</v>
      </c>
      <c r="R121" s="64">
        <f t="shared" si="241"/>
        <v>11.884415083992231</v>
      </c>
      <c r="S121" s="64">
        <f t="shared" si="241"/>
        <v>11.69683822631251</v>
      </c>
      <c r="T121" s="64">
        <f t="shared" si="241"/>
        <v>12.079536218437445</v>
      </c>
      <c r="U121" s="64">
        <f t="shared" si="241"/>
        <v>12.613587300721923</v>
      </c>
      <c r="V121" s="64">
        <f t="shared" si="241"/>
        <v>12.341065579857331</v>
      </c>
      <c r="W121" s="64">
        <f t="shared" si="241"/>
        <v>12.044942333099003</v>
      </c>
      <c r="X121" s="64">
        <f t="shared" si="241"/>
        <v>0</v>
      </c>
      <c r="Y121" s="64">
        <f t="shared" si="241"/>
        <v>0</v>
      </c>
    </row>
    <row r="122" spans="1:25">
      <c r="A122" t="str">
        <f t="shared" si="224"/>
        <v>32 Office of Building Code Services</v>
      </c>
      <c r="B122" t="str">
        <f t="shared" si="225"/>
        <v>032</v>
      </c>
      <c r="C122" s="64">
        <f t="shared" ref="C122" si="242">C32/1000000*$J$3/C$3</f>
        <v>0</v>
      </c>
      <c r="D122" s="64">
        <f t="shared" ref="D122" si="243">D32/1000000*$J$3/D$3</f>
        <v>0</v>
      </c>
      <c r="E122" s="64">
        <f t="shared" ref="E122" si="244">E32/1000000*$J$3/E$3</f>
        <v>0</v>
      </c>
      <c r="F122" s="64">
        <f t="shared" ref="F122" si="245">F32/1000000*$J$3/F$3</f>
        <v>0</v>
      </c>
      <c r="G122" s="64">
        <f t="shared" ref="G122" si="246">G32/1000000*$J$3/G$3</f>
        <v>0</v>
      </c>
      <c r="H122" s="64">
        <f t="shared" ref="H122" si="247">H32/1000000*$J$3/H$3</f>
        <v>0</v>
      </c>
      <c r="I122" s="64">
        <f t="shared" ref="I122" si="248">I32/1000000*$J$3/I$3</f>
        <v>0</v>
      </c>
      <c r="J122" s="64">
        <f t="shared" ref="J122:Y122" si="249">J32/1000000*$J$3/J$3</f>
        <v>0</v>
      </c>
      <c r="K122" s="64">
        <f t="shared" si="249"/>
        <v>0</v>
      </c>
      <c r="L122" s="64">
        <f t="shared" si="249"/>
        <v>0</v>
      </c>
      <c r="M122" s="64">
        <f t="shared" si="249"/>
        <v>0</v>
      </c>
      <c r="N122" s="64">
        <f t="shared" si="249"/>
        <v>0</v>
      </c>
      <c r="O122" s="64">
        <f t="shared" si="249"/>
        <v>0</v>
      </c>
      <c r="P122" s="64">
        <f t="shared" si="249"/>
        <v>0</v>
      </c>
      <c r="Q122" s="64">
        <f t="shared" si="249"/>
        <v>0</v>
      </c>
      <c r="R122" s="64">
        <f t="shared" si="249"/>
        <v>0</v>
      </c>
      <c r="S122" s="64">
        <f t="shared" si="249"/>
        <v>0</v>
      </c>
      <c r="T122" s="64">
        <f t="shared" si="249"/>
        <v>0</v>
      </c>
      <c r="U122" s="64">
        <f t="shared" si="249"/>
        <v>0</v>
      </c>
      <c r="V122" s="64">
        <f t="shared" si="249"/>
        <v>0</v>
      </c>
      <c r="W122" s="64">
        <f t="shared" si="249"/>
        <v>0</v>
      </c>
      <c r="X122" s="64">
        <f t="shared" si="249"/>
        <v>12.047161202819398</v>
      </c>
      <c r="Y122" s="64">
        <f t="shared" si="249"/>
        <v>11.512707142663066</v>
      </c>
    </row>
    <row r="123" spans="1:25">
      <c r="A123" t="str">
        <f t="shared" si="224"/>
        <v>81 Juvenile and Domestic Relations District Court</v>
      </c>
      <c r="B123" t="str">
        <f t="shared" si="225"/>
        <v>081</v>
      </c>
      <c r="C123" s="64">
        <f t="shared" ref="C123" si="250">C33/1000000*$J$3/C$3</f>
        <v>21.661356160316686</v>
      </c>
      <c r="D123" s="64">
        <f t="shared" ref="D123" si="251">D33/1000000*$J$3/D$3</f>
        <v>21.862254599404949</v>
      </c>
      <c r="E123" s="64">
        <f t="shared" ref="E123" si="252">E33/1000000*$J$3/E$3</f>
        <v>21.813973035664123</v>
      </c>
      <c r="F123" s="64">
        <f t="shared" ref="F123" si="253">F33/1000000*$J$3/F$3</f>
        <v>21.601318248893261</v>
      </c>
      <c r="G123" s="64">
        <f t="shared" ref="G123" si="254">G33/1000000*$J$3/G$3</f>
        <v>21.847224790949333</v>
      </c>
      <c r="H123" s="64">
        <f t="shared" ref="H123" si="255">H33/1000000*$J$3/H$3</f>
        <v>21.190938514510574</v>
      </c>
      <c r="I123" s="64">
        <f t="shared" ref="I123" si="256">I33/1000000*$J$3/I$3</f>
        <v>20.636623</v>
      </c>
      <c r="J123" s="64">
        <f t="shared" ref="J123:Y123" si="257">J33/1000000*$J$3/J$3</f>
        <v>21.437003000000001</v>
      </c>
      <c r="K123" s="64">
        <f t="shared" si="257"/>
        <v>21.053368606231835</v>
      </c>
      <c r="L123" s="64">
        <f t="shared" si="257"/>
        <v>21.053663912403312</v>
      </c>
      <c r="M123" s="64">
        <f t="shared" si="257"/>
        <v>21.149382767185202</v>
      </c>
      <c r="N123" s="64">
        <f t="shared" si="257"/>
        <v>22.054086198387875</v>
      </c>
      <c r="O123" s="64">
        <f t="shared" si="257"/>
        <v>23.309378404260492</v>
      </c>
      <c r="P123" s="64">
        <f t="shared" si="257"/>
        <v>23.29638454577735</v>
      </c>
      <c r="Q123" s="64">
        <f t="shared" si="257"/>
        <v>23.256535043056882</v>
      </c>
      <c r="R123" s="64">
        <f t="shared" si="257"/>
        <v>22.115154063765708</v>
      </c>
      <c r="S123" s="64">
        <f t="shared" si="257"/>
        <v>21.74245563004267</v>
      </c>
      <c r="T123" s="64">
        <f t="shared" si="257"/>
        <v>21.917310021787543</v>
      </c>
      <c r="U123" s="64">
        <f t="shared" si="257"/>
        <v>21.7992259018433</v>
      </c>
      <c r="V123" s="64">
        <f t="shared" si="257"/>
        <v>22.178645539248659</v>
      </c>
      <c r="W123" s="64">
        <f t="shared" si="257"/>
        <v>21.492192477758334</v>
      </c>
      <c r="X123" s="64">
        <f t="shared" si="257"/>
        <v>20.030388663438835</v>
      </c>
      <c r="Y123" s="64">
        <f t="shared" si="257"/>
        <v>19.251022722057826</v>
      </c>
    </row>
    <row r="124" spans="1:25">
      <c r="A124" t="str">
        <f t="shared" si="224"/>
        <v>88 Contributory Agencies</v>
      </c>
      <c r="B124" t="str">
        <f t="shared" si="225"/>
        <v>088</v>
      </c>
      <c r="C124" s="64">
        <f t="shared" ref="C124" si="258">C34/1000000*$J$3/C$3</f>
        <v>0</v>
      </c>
      <c r="D124" s="64">
        <f t="shared" ref="D124" si="259">D34/1000000*$J$3/D$3</f>
        <v>0</v>
      </c>
      <c r="E124" s="64">
        <f t="shared" ref="E124" si="260">E34/1000000*$J$3/E$3</f>
        <v>0</v>
      </c>
      <c r="F124" s="64">
        <f t="shared" ref="F124" si="261">F34/1000000*$J$3/F$3</f>
        <v>0</v>
      </c>
      <c r="G124" s="64">
        <f t="shared" ref="G124" si="262">G34/1000000*$J$3/G$3</f>
        <v>0</v>
      </c>
      <c r="H124" s="64">
        <f t="shared" ref="H124" si="263">H34/1000000*$J$3/H$3</f>
        <v>0</v>
      </c>
      <c r="I124" s="64">
        <f t="shared" ref="I124" si="264">I34/1000000*$J$3/I$3</f>
        <v>0</v>
      </c>
      <c r="J124" s="64">
        <f t="shared" ref="J124:Y124" si="265">J34/1000000*$J$3/J$3</f>
        <v>0</v>
      </c>
      <c r="K124" s="64">
        <f t="shared" si="265"/>
        <v>0</v>
      </c>
      <c r="L124" s="64">
        <f t="shared" si="265"/>
        <v>0</v>
      </c>
      <c r="M124" s="64">
        <f t="shared" si="265"/>
        <v>0</v>
      </c>
      <c r="N124" s="64">
        <f t="shared" si="265"/>
        <v>0</v>
      </c>
      <c r="O124" s="64">
        <f t="shared" si="265"/>
        <v>0</v>
      </c>
      <c r="P124" s="64">
        <f t="shared" si="265"/>
        <v>0</v>
      </c>
      <c r="Q124" s="64">
        <f t="shared" si="265"/>
        <v>0</v>
      </c>
      <c r="R124" s="64">
        <f t="shared" si="265"/>
        <v>0</v>
      </c>
      <c r="S124" s="64">
        <f t="shared" si="265"/>
        <v>0</v>
      </c>
      <c r="T124" s="64">
        <f t="shared" si="265"/>
        <v>0</v>
      </c>
      <c r="U124" s="64">
        <f t="shared" si="265"/>
        <v>0</v>
      </c>
      <c r="V124" s="64">
        <f t="shared" si="265"/>
        <v>0</v>
      </c>
      <c r="W124" s="64">
        <f t="shared" si="265"/>
        <v>0</v>
      </c>
      <c r="X124" s="64">
        <f t="shared" si="265"/>
        <v>0.16528226270325205</v>
      </c>
      <c r="Y124" s="64">
        <f t="shared" si="265"/>
        <v>0.42779759980892362</v>
      </c>
    </row>
    <row r="125" spans="1:25">
      <c r="A125" t="str">
        <f t="shared" si="224"/>
        <v>90 Police Department</v>
      </c>
      <c r="B125" t="str">
        <f t="shared" si="225"/>
        <v>090</v>
      </c>
      <c r="C125" s="64">
        <f t="shared" ref="C125" si="266">C35/1000000*$J$3/C$3</f>
        <v>181.3450107914276</v>
      </c>
      <c r="D125" s="64">
        <f t="shared" ref="D125" si="267">D35/1000000*$J$3/D$3</f>
        <v>174.97059753612851</v>
      </c>
      <c r="E125" s="64">
        <f t="shared" ref="E125" si="268">E35/1000000*$J$3/E$3</f>
        <v>174.60531529807369</v>
      </c>
      <c r="F125" s="64">
        <f t="shared" ref="F125" si="269">F35/1000000*$J$3/F$3</f>
        <v>175.82063551401868</v>
      </c>
      <c r="G125" s="64">
        <f t="shared" ref="G125" si="270">G35/1000000*$J$3/G$3</f>
        <v>182.96309001475649</v>
      </c>
      <c r="H125" s="64">
        <f t="shared" ref="H125" si="271">H35/1000000*$J$3/H$3</f>
        <v>176.57624299065424</v>
      </c>
      <c r="I125" s="64">
        <f t="shared" ref="I125" si="272">I35/1000000*$J$3/I$3</f>
        <v>171.79559699999999</v>
      </c>
      <c r="J125" s="64">
        <f t="shared" ref="J125:Y125" si="273">J35/1000000*$J$3/J$3</f>
        <v>181.24150299999999</v>
      </c>
      <c r="K125" s="64">
        <f t="shared" si="273"/>
        <v>173.7583677285852</v>
      </c>
      <c r="L125" s="64">
        <f t="shared" si="273"/>
        <v>167.300224121328</v>
      </c>
      <c r="M125" s="64">
        <f t="shared" si="273"/>
        <v>171.46631274612025</v>
      </c>
      <c r="N125" s="64">
        <f t="shared" si="273"/>
        <v>178.76762347117179</v>
      </c>
      <c r="O125" s="64">
        <f t="shared" si="273"/>
        <v>189.64031923104253</v>
      </c>
      <c r="P125" s="64">
        <f t="shared" si="273"/>
        <v>185.93907571696866</v>
      </c>
      <c r="Q125" s="64">
        <f t="shared" si="273"/>
        <v>188.60724339469408</v>
      </c>
      <c r="R125" s="64">
        <f t="shared" si="273"/>
        <v>178.71447726688911</v>
      </c>
      <c r="S125" s="64">
        <f t="shared" si="273"/>
        <v>164.09028349459464</v>
      </c>
      <c r="T125" s="64">
        <f t="shared" si="273"/>
        <v>169.09324976115229</v>
      </c>
      <c r="U125" s="64">
        <f t="shared" si="273"/>
        <v>162.79847234463227</v>
      </c>
      <c r="V125" s="64">
        <f t="shared" si="273"/>
        <v>147.17361766832963</v>
      </c>
      <c r="W125" s="64">
        <f t="shared" si="273"/>
        <v>142.37390594093733</v>
      </c>
      <c r="X125" s="64">
        <f t="shared" si="273"/>
        <v>149.47939632254841</v>
      </c>
      <c r="Y125" s="64">
        <f t="shared" si="273"/>
        <v>137.380597919938</v>
      </c>
    </row>
    <row r="126" spans="1:25">
      <c r="A126" t="str">
        <f t="shared" si="224"/>
        <v>91 Office of the Sheriff</v>
      </c>
      <c r="B126" t="str">
        <f t="shared" si="225"/>
        <v>091</v>
      </c>
      <c r="C126" s="64">
        <f t="shared" ref="C126" si="274">C36/1000000*$J$3/C$3</f>
        <v>45.453370048981824</v>
      </c>
      <c r="D126" s="64">
        <f t="shared" ref="D126" si="275">D36/1000000*$J$3/D$3</f>
        <v>44.709108369067295</v>
      </c>
      <c r="E126" s="64">
        <f t="shared" ref="E126" si="276">E36/1000000*$J$3/E$3</f>
        <v>44.609798627612427</v>
      </c>
      <c r="F126" s="64">
        <f t="shared" ref="F126" si="277">F36/1000000*$J$3/F$3</f>
        <v>40.995208066896211</v>
      </c>
      <c r="G126" s="64">
        <f t="shared" ref="G126" si="278">G36/1000000*$J$3/G$3</f>
        <v>45.830121987211022</v>
      </c>
      <c r="H126" s="64">
        <f t="shared" ref="H126" si="279">H36/1000000*$J$3/H$3</f>
        <v>44.783652729955726</v>
      </c>
      <c r="I126" s="64">
        <f t="shared" ref="I126" si="280">I36/1000000*$J$3/I$3</f>
        <v>42.467058000000002</v>
      </c>
      <c r="J126" s="64">
        <f t="shared" ref="J126:Y126" si="281">J36/1000000*$J$3/J$3</f>
        <v>45.875739000000003</v>
      </c>
      <c r="K126" s="64">
        <f t="shared" si="281"/>
        <v>42.106426248461361</v>
      </c>
      <c r="L126" s="64">
        <f t="shared" si="281"/>
        <v>43.21999048042867</v>
      </c>
      <c r="M126" s="64">
        <f t="shared" si="281"/>
        <v>43.234961928097597</v>
      </c>
      <c r="N126" s="64">
        <f t="shared" si="281"/>
        <v>45.022852130869296</v>
      </c>
      <c r="O126" s="64">
        <f t="shared" si="281"/>
        <v>45.949790678038454</v>
      </c>
      <c r="P126" s="64">
        <f t="shared" si="281"/>
        <v>45.523281904334823</v>
      </c>
      <c r="Q126" s="64">
        <f t="shared" si="281"/>
        <v>44.186169201817123</v>
      </c>
      <c r="R126" s="64">
        <f t="shared" si="281"/>
        <v>43.216737965387743</v>
      </c>
      <c r="S126" s="64">
        <f t="shared" si="281"/>
        <v>42.058072200633219</v>
      </c>
      <c r="T126" s="64">
        <f t="shared" si="281"/>
        <v>41.417096376871363</v>
      </c>
      <c r="U126" s="64">
        <f t="shared" si="281"/>
        <v>40.960316713346927</v>
      </c>
      <c r="V126" s="64">
        <f t="shared" si="281"/>
        <v>40.163021017259588</v>
      </c>
      <c r="W126" s="64">
        <f t="shared" si="281"/>
        <v>39.012431967522119</v>
      </c>
      <c r="X126" s="64">
        <f t="shared" si="281"/>
        <v>33.764787223024591</v>
      </c>
      <c r="Y126" s="64">
        <f t="shared" si="281"/>
        <v>31.988285342917173</v>
      </c>
    </row>
    <row r="127" spans="1:25">
      <c r="A127" t="str">
        <f t="shared" si="224"/>
        <v>92 Fire and Rescue Department</v>
      </c>
      <c r="B127" t="str">
        <f t="shared" si="225"/>
        <v>092</v>
      </c>
      <c r="C127" s="64">
        <f t="shared" ref="C127" si="282">C37/1000000*$J$3/C$3</f>
        <v>188.25922276831619</v>
      </c>
      <c r="D127" s="64">
        <f t="shared" ref="D127" si="283">D37/1000000*$J$3/D$3</f>
        <v>180.81373326342597</v>
      </c>
      <c r="E127" s="64">
        <f t="shared" ref="E127" si="284">E37/1000000*$J$3/E$3</f>
        <v>180.4792696213413</v>
      </c>
      <c r="F127" s="64">
        <f t="shared" ref="F127" si="285">F37/1000000*$J$3/F$3</f>
        <v>179.80250467289721</v>
      </c>
      <c r="G127" s="64">
        <f t="shared" ref="G127" si="286">G37/1000000*$J$3/G$3</f>
        <v>184.41381505164782</v>
      </c>
      <c r="H127" s="64">
        <f t="shared" ref="H127" si="287">H37/1000000*$J$3/H$3</f>
        <v>179.82191342843089</v>
      </c>
      <c r="I127" s="64">
        <f t="shared" ref="I127" si="288">I37/1000000*$J$3/I$3</f>
        <v>174.82488799999999</v>
      </c>
      <c r="J127" s="64">
        <f t="shared" ref="J127:Y127" si="289">J37/1000000*$J$3/J$3</f>
        <v>179.71936299999999</v>
      </c>
      <c r="K127" s="64">
        <f t="shared" si="289"/>
        <v>171.05499404471783</v>
      </c>
      <c r="L127" s="64">
        <f t="shared" si="289"/>
        <v>168.29719437639355</v>
      </c>
      <c r="M127" s="64">
        <f t="shared" si="289"/>
        <v>168.068633100113</v>
      </c>
      <c r="N127" s="64">
        <f t="shared" si="289"/>
        <v>178.35119098751241</v>
      </c>
      <c r="O127" s="64">
        <f t="shared" si="289"/>
        <v>181.74043521424821</v>
      </c>
      <c r="P127" s="64">
        <f t="shared" si="289"/>
        <v>182.12388859604684</v>
      </c>
      <c r="Q127" s="64">
        <f t="shared" si="289"/>
        <v>185.15049026257745</v>
      </c>
      <c r="R127" s="64">
        <f t="shared" si="289"/>
        <v>176.52753063580937</v>
      </c>
      <c r="S127" s="64">
        <f t="shared" si="289"/>
        <v>155.90558691287677</v>
      </c>
      <c r="T127" s="64">
        <f t="shared" si="289"/>
        <v>145.38359631061851</v>
      </c>
      <c r="U127" s="64">
        <f t="shared" si="289"/>
        <v>143.98425920133698</v>
      </c>
      <c r="V127" s="64">
        <f t="shared" si="289"/>
        <v>139.88707847999353</v>
      </c>
      <c r="W127" s="64">
        <f t="shared" si="289"/>
        <v>127.64127825763411</v>
      </c>
      <c r="X127" s="64">
        <f t="shared" si="289"/>
        <v>118.94520266479289</v>
      </c>
      <c r="Y127" s="64">
        <f t="shared" si="289"/>
        <v>112.81751544579835</v>
      </c>
    </row>
    <row r="128" spans="1:25">
      <c r="A128" t="str">
        <f t="shared" si="224"/>
        <v>93 Office of Emergency Management</v>
      </c>
      <c r="B128" t="str">
        <f t="shared" si="225"/>
        <v>093</v>
      </c>
      <c r="C128" s="64">
        <f t="shared" ref="C128" si="290">C38/1000000*$J$3/C$3</f>
        <v>1.7942354141092405</v>
      </c>
      <c r="D128" s="64">
        <f t="shared" ref="D128" si="291">D38/1000000*$J$3/D$3</f>
        <v>1.7775644318329462</v>
      </c>
      <c r="E128" s="64">
        <f t="shared" ref="E128" si="292">E38/1000000*$J$3/E$3</f>
        <v>1.7743377894838461</v>
      </c>
      <c r="F128" s="64">
        <f t="shared" ref="F128" si="293">F38/1000000*$J$3/F$3</f>
        <v>1.8468617806197736</v>
      </c>
      <c r="G128" s="64">
        <f t="shared" ref="G128" si="294">G38/1000000*$J$3/G$3</f>
        <v>2.4644328578455483</v>
      </c>
      <c r="H128" s="64">
        <f t="shared" ref="H128" si="295">H38/1000000*$J$3/H$3</f>
        <v>1.8213890801770782</v>
      </c>
      <c r="I128" s="64">
        <f t="shared" ref="I128" si="296">I38/1000000*$J$3/I$3</f>
        <v>1.6275809999999997</v>
      </c>
      <c r="J128" s="64">
        <f t="shared" ref="J128:Y128" si="297">J38/1000000*$J$3/J$3</f>
        <v>2.3378369999999999</v>
      </c>
      <c r="K128" s="64">
        <f t="shared" si="297"/>
        <v>1.6889044374396573</v>
      </c>
      <c r="L128" s="64">
        <f t="shared" si="297"/>
        <v>1.9222929267986557</v>
      </c>
      <c r="M128" s="64">
        <f t="shared" si="297"/>
        <v>1.879298933452378</v>
      </c>
      <c r="N128" s="64">
        <f t="shared" si="297"/>
        <v>1.670354875340891</v>
      </c>
      <c r="O128" s="64">
        <f t="shared" si="297"/>
        <v>2.0156654984928788</v>
      </c>
      <c r="P128" s="64">
        <f t="shared" si="297"/>
        <v>1.9343714234489691</v>
      </c>
      <c r="Q128" s="64">
        <f t="shared" si="297"/>
        <v>1.8798319031744655</v>
      </c>
      <c r="R128" s="64">
        <f t="shared" si="297"/>
        <v>0.89597358506779101</v>
      </c>
      <c r="S128" s="64">
        <f t="shared" si="297"/>
        <v>0.6924623787506401</v>
      </c>
      <c r="T128" s="64">
        <f t="shared" si="297"/>
        <v>0</v>
      </c>
      <c r="U128" s="64">
        <f t="shared" si="297"/>
        <v>0</v>
      </c>
      <c r="V128" s="64">
        <f t="shared" si="297"/>
        <v>0</v>
      </c>
      <c r="W128" s="64">
        <f t="shared" si="297"/>
        <v>0</v>
      </c>
      <c r="X128" s="64">
        <f t="shared" si="297"/>
        <v>0</v>
      </c>
      <c r="Y128" s="64">
        <f t="shared" si="297"/>
        <v>0</v>
      </c>
    </row>
    <row r="129" spans="1:25">
      <c r="A129" t="str">
        <f t="shared" si="224"/>
        <v>96 Animal Shelter</v>
      </c>
      <c r="B129" t="str">
        <f t="shared" si="225"/>
        <v>096</v>
      </c>
      <c r="C129" s="64">
        <f t="shared" ref="C129" si="298">C39/1000000*$J$3/C$3</f>
        <v>0</v>
      </c>
      <c r="D129" s="64">
        <f t="shared" ref="D129" si="299">D39/1000000*$J$3/D$3</f>
        <v>0</v>
      </c>
      <c r="E129" s="64">
        <f t="shared" ref="E129" si="300">E39/1000000*$J$3/E$3</f>
        <v>0</v>
      </c>
      <c r="F129" s="64">
        <f t="shared" ref="F129" si="301">F39/1000000*$J$3/F$3</f>
        <v>0</v>
      </c>
      <c r="G129" s="64">
        <f t="shared" ref="G129" si="302">G39/1000000*$J$3/G$3</f>
        <v>0</v>
      </c>
      <c r="H129" s="64">
        <f t="shared" ref="H129" si="303">H39/1000000*$J$3/H$3</f>
        <v>0</v>
      </c>
      <c r="I129" s="64">
        <f t="shared" ref="I129" si="304">I39/1000000*$J$3/I$3</f>
        <v>0</v>
      </c>
      <c r="J129" s="64">
        <f t="shared" ref="J129:Y129" si="305">J39/1000000*$J$3/J$3</f>
        <v>0</v>
      </c>
      <c r="K129" s="64">
        <f t="shared" si="305"/>
        <v>0</v>
      </c>
      <c r="L129" s="64">
        <f t="shared" si="305"/>
        <v>0</v>
      </c>
      <c r="M129" s="64">
        <f t="shared" si="305"/>
        <v>0</v>
      </c>
      <c r="N129" s="64">
        <f t="shared" si="305"/>
        <v>0</v>
      </c>
      <c r="O129" s="64">
        <f t="shared" si="305"/>
        <v>0</v>
      </c>
      <c r="P129" s="64">
        <f t="shared" si="305"/>
        <v>0</v>
      </c>
      <c r="Q129" s="64">
        <f t="shared" si="305"/>
        <v>0</v>
      </c>
      <c r="R129" s="64">
        <f t="shared" si="305"/>
        <v>0</v>
      </c>
      <c r="S129" s="64">
        <f t="shared" si="305"/>
        <v>0</v>
      </c>
      <c r="T129" s="64">
        <f t="shared" si="305"/>
        <v>0</v>
      </c>
      <c r="U129" s="64">
        <f t="shared" si="305"/>
        <v>0</v>
      </c>
      <c r="V129" s="64">
        <f t="shared" si="305"/>
        <v>1.3733605876385031</v>
      </c>
      <c r="W129" s="64">
        <f t="shared" si="305"/>
        <v>1.0303196423150762</v>
      </c>
      <c r="X129" s="64">
        <f t="shared" si="305"/>
        <v>0.94647036946864127</v>
      </c>
      <c r="Y129" s="64">
        <f t="shared" si="305"/>
        <v>0</v>
      </c>
    </row>
    <row r="130" spans="1:25">
      <c r="A130" t="str">
        <f t="shared" si="224"/>
        <v>97 Department of Code Compliance</v>
      </c>
      <c r="B130" t="str">
        <f t="shared" si="225"/>
        <v>097</v>
      </c>
      <c r="C130" s="64">
        <f t="shared" ref="C130" si="306">C40/1000000*$J$3/C$3</f>
        <v>4.1579343854649951</v>
      </c>
      <c r="D130" s="64">
        <f t="shared" ref="D130" si="307">D40/1000000*$J$3/D$3</f>
        <v>4.0892814067154131</v>
      </c>
      <c r="E130" s="64">
        <f t="shared" ref="E130" si="308">E40/1000000*$J$3/E$3</f>
        <v>3.9642185300147172</v>
      </c>
      <c r="F130" s="64">
        <f t="shared" ref="F130" si="309">F40/1000000*$J$3/F$3</f>
        <v>3.8791392031480569</v>
      </c>
      <c r="G130" s="64">
        <f t="shared" ref="G130" si="310">G40/1000000*$J$3/G$3</f>
        <v>4.024235120511559</v>
      </c>
      <c r="H130" s="64">
        <f t="shared" ref="H130" si="311">H40/1000000*$J$3/H$3</f>
        <v>4.0205322183964585</v>
      </c>
      <c r="I130" s="64">
        <f t="shared" ref="I130" si="312">I40/1000000*$J$3/I$3</f>
        <v>4.033569</v>
      </c>
      <c r="J130" s="64">
        <f t="shared" ref="J130:Y130" si="313">J40/1000000*$J$3/J$3</f>
        <v>4.0597149999999997</v>
      </c>
      <c r="K130" s="64">
        <f t="shared" si="313"/>
        <v>3.6542497756002987</v>
      </c>
      <c r="L130" s="64">
        <f t="shared" si="313"/>
        <v>3.7112460364571218</v>
      </c>
      <c r="M130" s="64">
        <f t="shared" si="313"/>
        <v>3.3088237949986481</v>
      </c>
      <c r="N130" s="64">
        <f t="shared" si="313"/>
        <v>0</v>
      </c>
      <c r="O130" s="64">
        <f t="shared" si="313"/>
        <v>0</v>
      </c>
      <c r="P130" s="64">
        <f t="shared" si="313"/>
        <v>0</v>
      </c>
      <c r="Q130" s="64">
        <f t="shared" si="313"/>
        <v>0</v>
      </c>
      <c r="R130" s="64">
        <f t="shared" si="313"/>
        <v>0</v>
      </c>
      <c r="S130" s="64">
        <f t="shared" si="313"/>
        <v>0</v>
      </c>
      <c r="T130" s="64">
        <f t="shared" si="313"/>
        <v>0</v>
      </c>
      <c r="U130" s="64">
        <f t="shared" si="313"/>
        <v>0</v>
      </c>
      <c r="V130" s="64">
        <f t="shared" si="313"/>
        <v>0</v>
      </c>
      <c r="W130" s="64">
        <f t="shared" si="313"/>
        <v>0</v>
      </c>
      <c r="X130" s="64">
        <f t="shared" si="313"/>
        <v>0</v>
      </c>
      <c r="Y130" s="64">
        <f t="shared" si="313"/>
        <v>0</v>
      </c>
    </row>
    <row r="131" spans="1:25">
      <c r="A131" t="str">
        <f t="shared" si="224"/>
        <v>Total Public Safety</v>
      </c>
      <c r="C131" s="64">
        <f t="shared" ref="C131" si="314">C41/1000000*$J$3/C$3</f>
        <v>453.36654909432218</v>
      </c>
      <c r="D131" s="64">
        <f t="shared" ref="D131" si="315">D41/1000000*$J$3/D$3</f>
        <v>438.6775992484072</v>
      </c>
      <c r="E131" s="64">
        <f t="shared" ref="E131" si="316">E41/1000000*$J$3/E$3</f>
        <v>437.680004471232</v>
      </c>
      <c r="F131" s="64">
        <f t="shared" ref="F131" si="317">F41/1000000*$J$3/F$3</f>
        <v>434.34905066404326</v>
      </c>
      <c r="G131" s="64">
        <f t="shared" ref="G131" si="318">G41/1000000*$J$3/G$3</f>
        <v>451.6792198721102</v>
      </c>
      <c r="H131" s="64">
        <f t="shared" ref="H131" si="319">H41/1000000*$J$3/H$3</f>
        <v>438.32773339891781</v>
      </c>
      <c r="I131" s="64">
        <f t="shared" ref="I131" si="320">I41/1000000*$J$3/I$3</f>
        <v>425.929462</v>
      </c>
      <c r="J131" s="64">
        <f t="shared" ref="J131:Y131" si="321">J41/1000000*$J$3/J$3</f>
        <v>443.63415199999997</v>
      </c>
      <c r="K131" s="64">
        <f t="shared" si="321"/>
        <v>422.98774556424092</v>
      </c>
      <c r="L131" s="64">
        <f t="shared" si="321"/>
        <v>415.64611971244085</v>
      </c>
      <c r="M131" s="64">
        <f t="shared" si="321"/>
        <v>418.79389766020074</v>
      </c>
      <c r="N131" s="64">
        <f t="shared" si="321"/>
        <v>436.17759861033022</v>
      </c>
      <c r="O131" s="64">
        <f t="shared" si="321"/>
        <v>454.82529804183741</v>
      </c>
      <c r="P131" s="64">
        <f t="shared" si="321"/>
        <v>451.90355334787182</v>
      </c>
      <c r="Q131" s="64">
        <f t="shared" si="321"/>
        <v>456.19125881658402</v>
      </c>
      <c r="R131" s="64">
        <f t="shared" si="321"/>
        <v>434.57097980319941</v>
      </c>
      <c r="S131" s="64">
        <f t="shared" si="321"/>
        <v>397.18068652692614</v>
      </c>
      <c r="T131" s="64">
        <f t="shared" si="321"/>
        <v>391.018677988756</v>
      </c>
      <c r="U131" s="64">
        <f t="shared" si="321"/>
        <v>383.48406200530701</v>
      </c>
      <c r="V131" s="64">
        <f t="shared" si="321"/>
        <v>364.35169235873173</v>
      </c>
      <c r="W131" s="64">
        <f t="shared" si="321"/>
        <v>344.76882350505645</v>
      </c>
      <c r="X131" s="64">
        <f t="shared" si="321"/>
        <v>336.6974741300678</v>
      </c>
      <c r="Y131" s="64">
        <f t="shared" si="321"/>
        <v>314.41346217424876</v>
      </c>
    </row>
    <row r="132" spans="1:25">
      <c r="C132" s="64"/>
      <c r="D132" s="64"/>
      <c r="E132" s="64"/>
      <c r="F132" s="64"/>
      <c r="G132" s="64"/>
      <c r="H132" s="64"/>
      <c r="I132" s="64"/>
      <c r="J132" s="64"/>
      <c r="K132" s="64"/>
      <c r="L132" s="64"/>
      <c r="M132" s="64"/>
      <c r="N132" s="64"/>
      <c r="O132" s="64"/>
      <c r="P132" s="64"/>
      <c r="Q132" s="64"/>
      <c r="R132" s="64"/>
      <c r="S132" s="64"/>
      <c r="T132" s="64"/>
      <c r="U132" s="64"/>
      <c r="V132" s="64"/>
      <c r="W132" s="64"/>
      <c r="X132" s="64"/>
      <c r="Y132" s="64"/>
    </row>
    <row r="133" spans="1:25">
      <c r="A133" t="str">
        <f t="shared" ref="A133:A142" si="322">A42</f>
        <v>Public Works</v>
      </c>
      <c r="C133" s="64"/>
      <c r="D133" s="64"/>
      <c r="E133" s="64"/>
      <c r="F133" s="64"/>
      <c r="G133" s="64"/>
      <c r="H133" s="64"/>
      <c r="I133" s="64"/>
      <c r="J133" s="64"/>
      <c r="K133" s="64"/>
      <c r="L133" s="64"/>
      <c r="M133" s="64"/>
      <c r="N133" s="64"/>
      <c r="O133" s="64"/>
      <c r="P133" s="64"/>
      <c r="Q133" s="64"/>
      <c r="R133" s="64"/>
      <c r="S133" s="64"/>
      <c r="T133" s="64"/>
      <c r="U133" s="64"/>
      <c r="V133" s="64"/>
      <c r="W133" s="64"/>
      <c r="X133" s="64"/>
      <c r="Y133" s="64"/>
    </row>
    <row r="134" spans="1:25">
      <c r="A134" t="str">
        <f t="shared" si="322"/>
        <v>08 Facilities Management Department</v>
      </c>
      <c r="B134" t="str">
        <f t="shared" ref="B134:B141" si="323">B43</f>
        <v>008</v>
      </c>
      <c r="C134" s="64">
        <f t="shared" ref="C134" si="324">C43/1000000*$J$3/C$3</f>
        <v>54.99510400234319</v>
      </c>
      <c r="D134" s="64">
        <f t="shared" ref="D134" si="325">D43/1000000*$J$3/D$3</f>
        <v>52.767623440966311</v>
      </c>
      <c r="E134" s="64">
        <f t="shared" ref="E134" si="326">E43/1000000*$J$3/E$3</f>
        <v>52.784604444762742</v>
      </c>
      <c r="F134" s="64">
        <f t="shared" ref="F134" si="327">F43/1000000*$J$3/F$3</f>
        <v>51.544629611411708</v>
      </c>
      <c r="G134" s="64">
        <f t="shared" ref="G134" si="328">G43/1000000*$J$3/G$3</f>
        <v>54.590962124938507</v>
      </c>
      <c r="H134" s="64">
        <f t="shared" ref="H134" si="329">H43/1000000*$J$3/H$3</f>
        <v>53.333239547466796</v>
      </c>
      <c r="I134" s="64">
        <f t="shared" ref="I134" si="330">I43/1000000*$J$3/I$3</f>
        <v>51.881512999999998</v>
      </c>
      <c r="J134" s="64">
        <f t="shared" ref="J134:Y134" si="331">J43/1000000*$J$3/J$3</f>
        <v>53.879398000000002</v>
      </c>
      <c r="K134" s="64">
        <f t="shared" si="331"/>
        <v>53.684884299837776</v>
      </c>
      <c r="L134" s="64">
        <f t="shared" si="331"/>
        <v>50.821085957581623</v>
      </c>
      <c r="M134" s="64">
        <f t="shared" si="331"/>
        <v>49.721644278557541</v>
      </c>
      <c r="N134" s="64">
        <f t="shared" si="331"/>
        <v>51.020819391301622</v>
      </c>
      <c r="O134" s="64">
        <f t="shared" si="331"/>
        <v>55.912967267860559</v>
      </c>
      <c r="P134" s="64">
        <f t="shared" si="331"/>
        <v>52.406778791484562</v>
      </c>
      <c r="Q134" s="64">
        <f t="shared" si="331"/>
        <v>48.330539840340272</v>
      </c>
      <c r="R134" s="64">
        <f t="shared" si="331"/>
        <v>45.727935641889069</v>
      </c>
      <c r="S134" s="64">
        <f t="shared" si="331"/>
        <v>43.783509144773859</v>
      </c>
      <c r="T134" s="64">
        <f t="shared" si="331"/>
        <v>42.859790889304755</v>
      </c>
      <c r="U134" s="64">
        <f t="shared" si="331"/>
        <v>43.836403816426639</v>
      </c>
      <c r="V134" s="64">
        <f t="shared" si="331"/>
        <v>43.157213732453215</v>
      </c>
      <c r="W134" s="64">
        <f t="shared" si="331"/>
        <v>40.165203425463964</v>
      </c>
      <c r="X134" s="64">
        <f t="shared" si="331"/>
        <v>37.94634667033489</v>
      </c>
      <c r="Y134" s="64">
        <f t="shared" si="331"/>
        <v>34.566583765434174</v>
      </c>
    </row>
    <row r="135" spans="1:25">
      <c r="A135" t="str">
        <f t="shared" si="322"/>
        <v>22 Project Engineering Division</v>
      </c>
      <c r="B135" t="str">
        <f t="shared" si="323"/>
        <v>022</v>
      </c>
      <c r="C135" s="64">
        <f t="shared" ref="C135" si="332">C44/1000000*$J$3/C$3</f>
        <v>0</v>
      </c>
      <c r="D135" s="64">
        <f t="shared" ref="D135" si="333">D44/1000000*$J$3/D$3</f>
        <v>0</v>
      </c>
      <c r="E135" s="64">
        <f t="shared" ref="E135" si="334">E44/1000000*$J$3/E$3</f>
        <v>0</v>
      </c>
      <c r="F135" s="64">
        <f t="shared" ref="F135" si="335">F44/1000000*$J$3/F$3</f>
        <v>0</v>
      </c>
      <c r="G135" s="64">
        <f t="shared" ref="G135" si="336">G44/1000000*$J$3/G$3</f>
        <v>0</v>
      </c>
      <c r="H135" s="64">
        <f t="shared" ref="H135" si="337">H44/1000000*$J$3/H$3</f>
        <v>0</v>
      </c>
      <c r="I135" s="64">
        <f t="shared" ref="I135" si="338">I44/1000000*$J$3/I$3</f>
        <v>0</v>
      </c>
      <c r="J135" s="64">
        <f t="shared" ref="J135:Y135" si="339">J44/1000000*$J$3/J$3</f>
        <v>0</v>
      </c>
      <c r="K135" s="64">
        <f t="shared" si="339"/>
        <v>0</v>
      </c>
      <c r="L135" s="64">
        <f t="shared" si="339"/>
        <v>0</v>
      </c>
      <c r="M135" s="64">
        <f t="shared" si="339"/>
        <v>0</v>
      </c>
      <c r="N135" s="64">
        <f t="shared" si="339"/>
        <v>0</v>
      </c>
      <c r="O135" s="64">
        <f t="shared" si="339"/>
        <v>0</v>
      </c>
      <c r="P135" s="64">
        <f t="shared" si="339"/>
        <v>0</v>
      </c>
      <c r="Q135" s="64">
        <f t="shared" si="339"/>
        <v>0</v>
      </c>
      <c r="R135" s="64">
        <f t="shared" si="339"/>
        <v>0</v>
      </c>
      <c r="S135" s="64">
        <f t="shared" si="339"/>
        <v>0</v>
      </c>
      <c r="T135" s="64">
        <f t="shared" si="339"/>
        <v>0</v>
      </c>
      <c r="U135" s="64">
        <f t="shared" si="339"/>
        <v>0</v>
      </c>
      <c r="V135" s="64">
        <f t="shared" si="339"/>
        <v>0</v>
      </c>
      <c r="W135" s="64">
        <f t="shared" si="339"/>
        <v>0</v>
      </c>
      <c r="X135" s="64">
        <f t="shared" si="339"/>
        <v>0.78556538873209458</v>
      </c>
      <c r="Y135" s="64">
        <f t="shared" si="339"/>
        <v>0.80189474058723498</v>
      </c>
    </row>
    <row r="136" spans="1:25">
      <c r="A136" t="str">
        <f t="shared" si="322"/>
        <v>25 Business Planning and Support</v>
      </c>
      <c r="B136" t="str">
        <f t="shared" si="323"/>
        <v>025</v>
      </c>
      <c r="C136" s="64">
        <f t="shared" ref="C136" si="340">C45/1000000*$J$3/C$3</f>
        <v>1.206284018544191</v>
      </c>
      <c r="D136" s="64">
        <f t="shared" ref="D136" si="341">D45/1000000*$J$3/D$3</f>
        <v>1.1667079997551468</v>
      </c>
      <c r="E136" s="64">
        <f t="shared" ref="E136" si="342">E45/1000000*$J$3/E$3</f>
        <v>1.1629093881114101</v>
      </c>
      <c r="F136" s="64">
        <f t="shared" ref="F136" si="343">F45/1000000*$J$3/F$3</f>
        <v>0.88892080668962126</v>
      </c>
      <c r="G136" s="64">
        <f t="shared" ref="G136" si="344">G45/1000000*$J$3/G$3</f>
        <v>0.96484505656665021</v>
      </c>
      <c r="H136" s="64">
        <f t="shared" ref="H136" si="345">H45/1000000*$J$3/H$3</f>
        <v>0.95945597638957203</v>
      </c>
      <c r="I136" s="64">
        <f t="shared" ref="I136" si="346">I45/1000000*$J$3/I$3</f>
        <v>0.75541100000000005</v>
      </c>
      <c r="J136" s="64">
        <f t="shared" ref="J136:Y136" si="347">J45/1000000*$J$3/J$3</f>
        <v>0.78102199999999999</v>
      </c>
      <c r="K136" s="64">
        <f t="shared" si="347"/>
        <v>0.75197396336592759</v>
      </c>
      <c r="L136" s="64">
        <f t="shared" si="347"/>
        <v>0.75770469409577124</v>
      </c>
      <c r="M136" s="64">
        <f t="shared" si="347"/>
        <v>0.2809997352980621</v>
      </c>
      <c r="N136" s="64">
        <f t="shared" si="347"/>
        <v>0.35785315841802107</v>
      </c>
      <c r="O136" s="64">
        <f t="shared" si="347"/>
        <v>0.37742037200498441</v>
      </c>
      <c r="P136" s="64">
        <f t="shared" si="347"/>
        <v>0.47167677005661796</v>
      </c>
      <c r="Q136" s="64">
        <f t="shared" si="347"/>
        <v>0.434218398240588</v>
      </c>
      <c r="R136" s="64">
        <f t="shared" si="347"/>
        <v>0.43880152321015214</v>
      </c>
      <c r="S136" s="64">
        <f t="shared" si="347"/>
        <v>0.38642300237156513</v>
      </c>
      <c r="T136" s="64">
        <f t="shared" si="347"/>
        <v>3.3757975813675665</v>
      </c>
      <c r="U136" s="64">
        <f t="shared" si="347"/>
        <v>3.2263961590951089</v>
      </c>
      <c r="V136" s="64">
        <f t="shared" si="347"/>
        <v>3.308637298280527</v>
      </c>
      <c r="W136" s="64">
        <f t="shared" si="347"/>
        <v>2.9043838255194805</v>
      </c>
      <c r="X136" s="64">
        <f t="shared" si="347"/>
        <v>0.52084981170538147</v>
      </c>
      <c r="Y136" s="64">
        <f t="shared" si="347"/>
        <v>0.38102444457483003</v>
      </c>
    </row>
    <row r="137" spans="1:25">
      <c r="A137" t="str">
        <f t="shared" si="322"/>
        <v>26 Office of Capital Facilities</v>
      </c>
      <c r="B137" t="str">
        <f t="shared" si="323"/>
        <v>026</v>
      </c>
      <c r="C137" s="64">
        <f t="shared" ref="C137" si="348">C46/1000000*$J$3/C$3</f>
        <v>13.446743135367726</v>
      </c>
      <c r="D137" s="64">
        <f t="shared" ref="D137" si="349">D46/1000000*$J$3/D$3</f>
        <v>13.04125219660162</v>
      </c>
      <c r="E137" s="64">
        <f t="shared" ref="E137" si="350">E46/1000000*$J$3/E$3</f>
        <v>13.013084402489277</v>
      </c>
      <c r="F137" s="64">
        <f t="shared" ref="F137" si="351">F46/1000000*$J$3/F$3</f>
        <v>12.936597147073291</v>
      </c>
      <c r="G137" s="64">
        <f t="shared" ref="G137" si="352">G46/1000000*$J$3/G$3</f>
        <v>13.174784062961141</v>
      </c>
      <c r="H137" s="64">
        <f t="shared" ref="H137" si="353">H46/1000000*$J$3/H$3</f>
        <v>12.981260206591244</v>
      </c>
      <c r="I137" s="64">
        <f t="shared" ref="I137" si="354">I46/1000000*$J$3/I$3</f>
        <v>12.843761000000001</v>
      </c>
      <c r="J137" s="64">
        <f t="shared" ref="J137:Y137" si="355">J46/1000000*$J$3/J$3</f>
        <v>12.887881999999999</v>
      </c>
      <c r="K137" s="64">
        <f t="shared" si="355"/>
        <v>12.119023239393522</v>
      </c>
      <c r="L137" s="64">
        <f t="shared" si="355"/>
        <v>11.837000291307078</v>
      </c>
      <c r="M137" s="64">
        <f t="shared" si="355"/>
        <v>11.184420300570153</v>
      </c>
      <c r="N137" s="64">
        <f t="shared" si="355"/>
        <v>11.316213716834209</v>
      </c>
      <c r="O137" s="64">
        <f t="shared" si="355"/>
        <v>12.615288817334541</v>
      </c>
      <c r="P137" s="64">
        <f t="shared" si="355"/>
        <v>12.596761522985439</v>
      </c>
      <c r="Q137" s="64">
        <f t="shared" si="355"/>
        <v>11.559951630738103</v>
      </c>
      <c r="R137" s="64">
        <f t="shared" si="355"/>
        <v>10.78968880471313</v>
      </c>
      <c r="S137" s="64">
        <f t="shared" si="355"/>
        <v>10.466080472831543</v>
      </c>
      <c r="T137" s="64">
        <f t="shared" si="355"/>
        <v>10.18737509671784</v>
      </c>
      <c r="U137" s="64">
        <f t="shared" si="355"/>
        <v>10.912500275994566</v>
      </c>
      <c r="V137" s="64">
        <f t="shared" si="355"/>
        <v>10.801305390912544</v>
      </c>
      <c r="W137" s="64">
        <f t="shared" si="355"/>
        <v>10.605686695059289</v>
      </c>
      <c r="X137" s="64">
        <f t="shared" si="355"/>
        <v>1.2627743591211771</v>
      </c>
      <c r="Y137" s="64">
        <f t="shared" si="355"/>
        <v>1.2020896991146459</v>
      </c>
    </row>
    <row r="138" spans="1:25">
      <c r="A138" t="str">
        <f t="shared" si="322"/>
        <v>28 Utilities Planning and Design Division</v>
      </c>
      <c r="B138" t="str">
        <f t="shared" si="323"/>
        <v>028</v>
      </c>
      <c r="C138" s="64">
        <f t="shared" ref="C138" si="356">C47/1000000*$J$3/C$3</f>
        <v>0</v>
      </c>
      <c r="D138" s="64">
        <f t="shared" ref="D138" si="357">D47/1000000*$J$3/D$3</f>
        <v>0</v>
      </c>
      <c r="E138" s="64">
        <f t="shared" ref="E138" si="358">E47/1000000*$J$3/E$3</f>
        <v>0</v>
      </c>
      <c r="F138" s="64">
        <f t="shared" ref="F138" si="359">F47/1000000*$J$3/F$3</f>
        <v>0</v>
      </c>
      <c r="G138" s="64">
        <f t="shared" ref="G138" si="360">G47/1000000*$J$3/G$3</f>
        <v>0</v>
      </c>
      <c r="H138" s="64">
        <f t="shared" ref="H138" si="361">H47/1000000*$J$3/H$3</f>
        <v>0</v>
      </c>
      <c r="I138" s="64">
        <f t="shared" ref="I138" si="362">I47/1000000*$J$3/I$3</f>
        <v>0</v>
      </c>
      <c r="J138" s="64">
        <f t="shared" ref="J138:Y138" si="363">J47/1000000*$J$3/J$3</f>
        <v>0</v>
      </c>
      <c r="K138" s="64">
        <f t="shared" si="363"/>
        <v>0</v>
      </c>
      <c r="L138" s="64">
        <f t="shared" si="363"/>
        <v>0</v>
      </c>
      <c r="M138" s="64">
        <f t="shared" si="363"/>
        <v>0</v>
      </c>
      <c r="N138" s="64">
        <f t="shared" si="363"/>
        <v>0</v>
      </c>
      <c r="O138" s="64">
        <f t="shared" si="363"/>
        <v>0</v>
      </c>
      <c r="P138" s="64">
        <f t="shared" si="363"/>
        <v>0</v>
      </c>
      <c r="Q138" s="64">
        <f t="shared" si="363"/>
        <v>0</v>
      </c>
      <c r="R138" s="64">
        <f t="shared" si="363"/>
        <v>0</v>
      </c>
      <c r="S138" s="64">
        <f t="shared" si="363"/>
        <v>0</v>
      </c>
      <c r="T138" s="64">
        <f t="shared" si="363"/>
        <v>0</v>
      </c>
      <c r="U138" s="64">
        <f t="shared" si="363"/>
        <v>0</v>
      </c>
      <c r="V138" s="64">
        <f t="shared" si="363"/>
        <v>0</v>
      </c>
      <c r="W138" s="64">
        <f t="shared" si="363"/>
        <v>0</v>
      </c>
      <c r="X138" s="64">
        <f t="shared" si="363"/>
        <v>8.9522468812243527</v>
      </c>
      <c r="Y138" s="64">
        <f t="shared" si="363"/>
        <v>8.8036880107813129</v>
      </c>
    </row>
    <row r="139" spans="1:25">
      <c r="A139" t="str">
        <f t="shared" si="322"/>
        <v xml:space="preserve">29 Stormwater Management </v>
      </c>
      <c r="B139" t="str">
        <f t="shared" si="323"/>
        <v>029</v>
      </c>
      <c r="C139" s="64">
        <f t="shared" ref="C139" si="364">C48/1000000*$J$3/C$3</f>
        <v>0</v>
      </c>
      <c r="D139" s="64">
        <f t="shared" ref="D139" si="365">D48/1000000*$J$3/D$3</f>
        <v>0</v>
      </c>
      <c r="E139" s="64">
        <f t="shared" ref="E139" si="366">E48/1000000*$J$3/E$3</f>
        <v>0</v>
      </c>
      <c r="F139" s="64">
        <f t="shared" ref="F139" si="367">F48/1000000*$J$3/F$3</f>
        <v>0</v>
      </c>
      <c r="G139" s="64">
        <f t="shared" ref="G139" si="368">G48/1000000*$J$3/G$3</f>
        <v>0</v>
      </c>
      <c r="H139" s="64">
        <f t="shared" ref="H139" si="369">H48/1000000*$J$3/H$3</f>
        <v>0</v>
      </c>
      <c r="I139" s="64">
        <f t="shared" ref="I139" si="370">I48/1000000*$J$3/I$3</f>
        <v>0</v>
      </c>
      <c r="J139" s="64">
        <f t="shared" ref="J139:Y139" si="371">J48/1000000*$J$3/J$3</f>
        <v>0</v>
      </c>
      <c r="K139" s="64">
        <f t="shared" si="371"/>
        <v>0</v>
      </c>
      <c r="L139" s="64">
        <f t="shared" si="371"/>
        <v>0</v>
      </c>
      <c r="M139" s="64">
        <f t="shared" si="371"/>
        <v>0</v>
      </c>
      <c r="N139" s="64">
        <f t="shared" si="371"/>
        <v>0</v>
      </c>
      <c r="O139" s="64">
        <f t="shared" si="371"/>
        <v>3.76706092786559</v>
      </c>
      <c r="P139" s="64">
        <f t="shared" si="371"/>
        <v>11.576261436258051</v>
      </c>
      <c r="Q139" s="64">
        <f t="shared" si="371"/>
        <v>12.588663911182168</v>
      </c>
      <c r="R139" s="64">
        <f t="shared" si="371"/>
        <v>10.84638923034557</v>
      </c>
      <c r="S139" s="64">
        <f t="shared" si="371"/>
        <v>9.5710965461563404</v>
      </c>
      <c r="T139" s="64">
        <f t="shared" si="371"/>
        <v>10.221035746270514</v>
      </c>
      <c r="U139" s="64">
        <f t="shared" si="371"/>
        <v>10.090648801048008</v>
      </c>
      <c r="V139" s="64">
        <f t="shared" si="371"/>
        <v>9.7690751713739115</v>
      </c>
      <c r="W139" s="64">
        <f t="shared" si="371"/>
        <v>8.9251058713796354</v>
      </c>
      <c r="X139" s="64">
        <f t="shared" si="371"/>
        <v>8.1514324938821154</v>
      </c>
      <c r="Y139" s="64">
        <f t="shared" si="371"/>
        <v>7.6581748451350551</v>
      </c>
    </row>
    <row r="140" spans="1:25">
      <c r="A140" t="str">
        <f t="shared" si="322"/>
        <v>33 Land Acquisition Division</v>
      </c>
      <c r="B140" t="str">
        <f t="shared" si="323"/>
        <v>033</v>
      </c>
      <c r="C140" s="64">
        <f t="shared" ref="C140" si="372">C49/1000000*$J$3/C$3</f>
        <v>0</v>
      </c>
      <c r="D140" s="64">
        <f t="shared" ref="D140" si="373">D49/1000000*$J$3/D$3</f>
        <v>0</v>
      </c>
      <c r="E140" s="64">
        <f t="shared" ref="E140" si="374">E49/1000000*$J$3/E$3</f>
        <v>0</v>
      </c>
      <c r="F140" s="64">
        <f t="shared" ref="F140" si="375">F49/1000000*$J$3/F$3</f>
        <v>0</v>
      </c>
      <c r="G140" s="64">
        <f t="shared" ref="G140" si="376">G49/1000000*$J$3/G$3</f>
        <v>0</v>
      </c>
      <c r="H140" s="64">
        <f t="shared" ref="H140" si="377">H49/1000000*$J$3/H$3</f>
        <v>0</v>
      </c>
      <c r="I140" s="64">
        <f t="shared" ref="I140" si="378">I49/1000000*$J$3/I$3</f>
        <v>0</v>
      </c>
      <c r="J140" s="64">
        <f t="shared" ref="J140:Y140" si="379">J49/1000000*$J$3/J$3</f>
        <v>0</v>
      </c>
      <c r="K140" s="64">
        <f t="shared" si="379"/>
        <v>0</v>
      </c>
      <c r="L140" s="64">
        <f t="shared" si="379"/>
        <v>0</v>
      </c>
      <c r="M140" s="64">
        <f t="shared" si="379"/>
        <v>0</v>
      </c>
      <c r="N140" s="64">
        <f t="shared" si="379"/>
        <v>0</v>
      </c>
      <c r="O140" s="64">
        <f t="shared" si="379"/>
        <v>0</v>
      </c>
      <c r="P140" s="64">
        <f t="shared" si="379"/>
        <v>0</v>
      </c>
      <c r="Q140" s="64">
        <f t="shared" si="379"/>
        <v>0</v>
      </c>
      <c r="R140" s="64">
        <f t="shared" si="379"/>
        <v>0</v>
      </c>
      <c r="S140" s="64">
        <f t="shared" si="379"/>
        <v>0</v>
      </c>
      <c r="T140" s="64">
        <f t="shared" si="379"/>
        <v>0</v>
      </c>
      <c r="U140" s="64">
        <f t="shared" si="379"/>
        <v>0</v>
      </c>
      <c r="V140" s="64">
        <f t="shared" si="379"/>
        <v>0</v>
      </c>
      <c r="W140" s="64">
        <f t="shared" si="379"/>
        <v>0</v>
      </c>
      <c r="X140" s="64">
        <f t="shared" si="379"/>
        <v>0.20545729753774683</v>
      </c>
      <c r="Y140" s="64">
        <f t="shared" si="379"/>
        <v>0.17459789636554623</v>
      </c>
    </row>
    <row r="141" spans="1:25">
      <c r="A141" t="str">
        <f t="shared" si="322"/>
        <v>87 Unclassified Administrative Expenses</v>
      </c>
      <c r="B141" t="str">
        <f t="shared" si="323"/>
        <v>087</v>
      </c>
      <c r="C141" s="64">
        <f t="shared" ref="C141" si="380">C50/1000000*$J$3/C$3</f>
        <v>3.5124037318632073</v>
      </c>
      <c r="D141" s="64">
        <f t="shared" ref="D141" si="381">D50/1000000*$J$3/D$3</f>
        <v>3.2823508034789475</v>
      </c>
      <c r="E141" s="64">
        <f t="shared" ref="E141" si="382">E50/1000000*$J$3/E$3</f>
        <v>3.2823508034789475</v>
      </c>
      <c r="F141" s="64">
        <f t="shared" ref="F141" si="383">F50/1000000*$J$3/F$3</f>
        <v>3.1810408263649776</v>
      </c>
      <c r="G141" s="64">
        <f t="shared" ref="G141" si="384">G50/1000000*$J$3/G$3</f>
        <v>3.5747279881947862</v>
      </c>
      <c r="H141" s="64">
        <f t="shared" ref="H141" si="385">H50/1000000*$J$3/H$3</f>
        <v>3.4250486965076239</v>
      </c>
      <c r="I141" s="64">
        <f t="shared" ref="I141" si="386">I50/1000000*$J$3/I$3</f>
        <v>4.4049040000000002</v>
      </c>
      <c r="J141" s="64">
        <f t="shared" ref="J141:Y141" si="387">J50/1000000*$J$3/J$3</f>
        <v>4.5847680000000004</v>
      </c>
      <c r="K141" s="64">
        <f t="shared" si="387"/>
        <v>2.9435334185409689</v>
      </c>
      <c r="L141" s="64">
        <f t="shared" si="387"/>
        <v>2.4470981218579038</v>
      </c>
      <c r="M141" s="64">
        <f t="shared" si="387"/>
        <v>3.6720026683807108</v>
      </c>
      <c r="N141" s="64">
        <f t="shared" si="387"/>
        <v>4.6561481963845672</v>
      </c>
      <c r="O141" s="64">
        <f t="shared" si="387"/>
        <v>0.46937071761436649</v>
      </c>
      <c r="P141" s="64">
        <f t="shared" si="387"/>
        <v>0.51228310919262632</v>
      </c>
      <c r="Q141" s="64">
        <f t="shared" si="387"/>
        <v>0.7519880227723601</v>
      </c>
      <c r="R141" s="64">
        <f t="shared" si="387"/>
        <v>0.27091847358878968</v>
      </c>
      <c r="S141" s="64">
        <f t="shared" si="387"/>
        <v>0.29089214064601471</v>
      </c>
      <c r="T141" s="64">
        <f t="shared" si="387"/>
        <v>0.23717354582053998</v>
      </c>
      <c r="U141" s="64">
        <f t="shared" si="387"/>
        <v>0.28138666627536235</v>
      </c>
      <c r="V141" s="64">
        <f t="shared" si="387"/>
        <v>0.29012747567259589</v>
      </c>
      <c r="W141" s="64">
        <f t="shared" si="387"/>
        <v>0.2532034328279692</v>
      </c>
      <c r="X141" s="64">
        <f t="shared" si="387"/>
        <v>9.7504505718157206E-2</v>
      </c>
      <c r="Y141" s="64">
        <f t="shared" si="387"/>
        <v>9.1504354456782719E-2</v>
      </c>
    </row>
    <row r="142" spans="1:25">
      <c r="A142" t="str">
        <f t="shared" si="322"/>
        <v>Total Public Works</v>
      </c>
      <c r="C142" s="64">
        <f t="shared" ref="C142" si="388">C51/1000000*$J$3/C$3</f>
        <v>73.160534888118306</v>
      </c>
      <c r="D142" s="64">
        <f t="shared" ref="D142" si="389">D51/1000000*$J$3/D$3</f>
        <v>70.257934440802018</v>
      </c>
      <c r="E142" s="64">
        <f t="shared" ref="E142" si="390">E51/1000000*$J$3/E$3</f>
        <v>70.242949038842369</v>
      </c>
      <c r="F142" s="64">
        <f t="shared" ref="F142" si="391">F51/1000000*$J$3/F$3</f>
        <v>68.551188391539583</v>
      </c>
      <c r="G142" s="64">
        <f t="shared" ref="G142" si="392">G51/1000000*$J$3/G$3</f>
        <v>72.305319232661077</v>
      </c>
      <c r="H142" s="64">
        <f t="shared" ref="H142" si="393">H51/1000000*$J$3/H$3</f>
        <v>70.699004426955241</v>
      </c>
      <c r="I142" s="64">
        <f t="shared" ref="I142" si="394">I51/1000000*$J$3/I$3</f>
        <v>69.885588999999996</v>
      </c>
      <c r="J142" s="64">
        <f t="shared" ref="J142:Y142" si="395">J51/1000000*$J$3/J$3</f>
        <v>72.133070000000004</v>
      </c>
      <c r="K142" s="64">
        <f t="shared" si="395"/>
        <v>69.499414921138197</v>
      </c>
      <c r="L142" s="64">
        <f t="shared" si="395"/>
        <v>65.862889064842378</v>
      </c>
      <c r="M142" s="64">
        <f t="shared" si="395"/>
        <v>64.859066982806468</v>
      </c>
      <c r="N142" s="64">
        <f t="shared" si="395"/>
        <v>67.351034462938415</v>
      </c>
      <c r="O142" s="64">
        <f t="shared" si="395"/>
        <v>73.142108102680041</v>
      </c>
      <c r="P142" s="64">
        <f t="shared" si="395"/>
        <v>77.563761629977293</v>
      </c>
      <c r="Q142" s="64">
        <f t="shared" si="395"/>
        <v>73.665361803273512</v>
      </c>
      <c r="R142" s="64">
        <f t="shared" si="395"/>
        <v>68.073733673746702</v>
      </c>
      <c r="S142" s="64">
        <f t="shared" si="395"/>
        <v>64.498001306779315</v>
      </c>
      <c r="T142" s="64">
        <f t="shared" si="395"/>
        <v>66.881172859481211</v>
      </c>
      <c r="U142" s="64">
        <f t="shared" si="395"/>
        <v>68.347335718839673</v>
      </c>
      <c r="V142" s="64">
        <f t="shared" si="395"/>
        <v>67.326359068692796</v>
      </c>
      <c r="W142" s="64">
        <f t="shared" si="395"/>
        <v>62.853583250250338</v>
      </c>
      <c r="X142" s="64">
        <f t="shared" si="395"/>
        <v>57.922177408255912</v>
      </c>
      <c r="Y142" s="64">
        <f t="shared" si="395"/>
        <v>53.679557756449583</v>
      </c>
    </row>
    <row r="143" spans="1:25">
      <c r="C143" s="64"/>
      <c r="D143" s="64"/>
      <c r="E143" s="64"/>
      <c r="F143" s="64"/>
      <c r="G143" s="64"/>
      <c r="H143" s="64"/>
      <c r="I143" s="64"/>
      <c r="J143" s="64"/>
      <c r="K143" s="64"/>
      <c r="L143" s="64"/>
      <c r="M143" s="64"/>
      <c r="N143" s="64"/>
      <c r="O143" s="64"/>
      <c r="P143" s="64"/>
      <c r="Q143" s="64"/>
      <c r="R143" s="64"/>
      <c r="S143" s="64"/>
      <c r="T143" s="64"/>
      <c r="U143" s="64"/>
      <c r="V143" s="64"/>
      <c r="W143" s="64"/>
      <c r="X143" s="64"/>
      <c r="Y143" s="64"/>
    </row>
    <row r="144" spans="1:25">
      <c r="A144" t="str">
        <f t="shared" ref="A144:A153" si="396">A52</f>
        <v>Health and Welfare</v>
      </c>
      <c r="C144" s="64"/>
      <c r="D144" s="64"/>
      <c r="E144" s="64"/>
      <c r="F144" s="64"/>
      <c r="G144" s="64"/>
      <c r="H144" s="64"/>
      <c r="I144" s="64"/>
      <c r="J144" s="64"/>
      <c r="K144" s="64"/>
      <c r="L144" s="64"/>
      <c r="M144" s="64"/>
      <c r="N144" s="64"/>
      <c r="O144" s="64"/>
      <c r="P144" s="64"/>
      <c r="Q144" s="64"/>
      <c r="R144" s="64"/>
      <c r="S144" s="64"/>
      <c r="T144" s="64"/>
      <c r="U144" s="64"/>
      <c r="V144" s="64"/>
      <c r="W144" s="64"/>
      <c r="X144" s="64"/>
      <c r="Y144" s="64"/>
    </row>
    <row r="145" spans="1:25">
      <c r="A145" t="str">
        <f t="shared" si="396"/>
        <v>05 Office for Women</v>
      </c>
      <c r="C145" s="64">
        <f t="shared" ref="C145" si="397">C53/1000000*$J$3/C$3</f>
        <v>0</v>
      </c>
      <c r="D145" s="64">
        <f t="shared" ref="D145" si="398">D53/1000000*$J$3/D$3</f>
        <v>0</v>
      </c>
      <c r="E145" s="64">
        <f t="shared" ref="E145" si="399">E53/1000000*$J$3/E$3</f>
        <v>0</v>
      </c>
      <c r="F145" s="64">
        <f t="shared" ref="F145" si="400">F53/1000000*$J$3/F$3</f>
        <v>0</v>
      </c>
      <c r="G145" s="64">
        <f t="shared" ref="G145" si="401">G53/1000000*$J$3/G$3</f>
        <v>0</v>
      </c>
      <c r="H145" s="64">
        <f t="shared" ref="H145" si="402">H53/1000000*$J$3/H$3</f>
        <v>0</v>
      </c>
      <c r="I145" s="64">
        <f t="shared" ref="I145" si="403">I53/1000000*$J$3/I$3</f>
        <v>0</v>
      </c>
      <c r="J145" s="64">
        <f t="shared" ref="J145:Y145" si="404">J53/1000000*$J$3/J$3</f>
        <v>0</v>
      </c>
      <c r="K145" s="64">
        <f t="shared" si="404"/>
        <v>0</v>
      </c>
      <c r="L145" s="64">
        <f t="shared" si="404"/>
        <v>0</v>
      </c>
      <c r="M145" s="64">
        <f t="shared" si="404"/>
        <v>0</v>
      </c>
      <c r="N145" s="64">
        <f t="shared" si="404"/>
        <v>0</v>
      </c>
      <c r="O145" s="64">
        <f t="shared" si="404"/>
        <v>0</v>
      </c>
      <c r="P145" s="64">
        <f t="shared" si="404"/>
        <v>0</v>
      </c>
      <c r="Q145" s="64">
        <f t="shared" si="404"/>
        <v>0</v>
      </c>
      <c r="R145" s="64">
        <f t="shared" si="404"/>
        <v>0</v>
      </c>
      <c r="S145" s="64">
        <f t="shared" si="404"/>
        <v>0</v>
      </c>
      <c r="T145" s="64">
        <f t="shared" si="404"/>
        <v>0</v>
      </c>
      <c r="U145" s="64">
        <f t="shared" si="404"/>
        <v>0.53433282731068843</v>
      </c>
      <c r="V145" s="64">
        <f t="shared" si="404"/>
        <v>0.63196055146007046</v>
      </c>
      <c r="W145" s="64">
        <f t="shared" si="404"/>
        <v>0.53051893214003398</v>
      </c>
      <c r="X145" s="64">
        <f t="shared" si="404"/>
        <v>0.45402064911633772</v>
      </c>
      <c r="Y145" s="64">
        <f t="shared" si="404"/>
        <v>0.43324423682472996</v>
      </c>
    </row>
    <row r="146" spans="1:25">
      <c r="A146" t="str">
        <f t="shared" si="396"/>
        <v>67 Department of Family Services</v>
      </c>
      <c r="B146" t="str">
        <f t="shared" ref="B146:B152" si="405">B54</f>
        <v>067</v>
      </c>
      <c r="C146" s="64">
        <f t="shared" ref="C146" si="406">C54/1000000*$J$3/C$3</f>
        <v>192.56342322573593</v>
      </c>
      <c r="D146" s="64">
        <f t="shared" ref="D146" si="407">D54/1000000*$J$3/D$3</f>
        <v>189.37047230291918</v>
      </c>
      <c r="E146" s="64">
        <f t="shared" ref="E146" si="408">E54/1000000*$J$3/E$3</f>
        <v>186.68807083515503</v>
      </c>
      <c r="F146" s="64">
        <f t="shared" ref="F146" si="409">F54/1000000*$J$3/F$3</f>
        <v>180.37562321692079</v>
      </c>
      <c r="G146" s="64">
        <f t="shared" ref="G146" si="410">G54/1000000*$J$3/G$3</f>
        <v>191.34428922774225</v>
      </c>
      <c r="H146" s="64">
        <f t="shared" ref="H146" si="411">H54/1000000*$J$3/H$3</f>
        <v>186.67689522872601</v>
      </c>
      <c r="I146" s="64">
        <f t="shared" ref="I146" si="412">I54/1000000*$J$3/I$3</f>
        <v>179.90697299999999</v>
      </c>
      <c r="J146" s="64">
        <f t="shared" ref="J146:Y146" si="413">J54/1000000*$J$3/J$3</f>
        <v>190.896165</v>
      </c>
      <c r="K146" s="64">
        <f t="shared" si="413"/>
        <v>184.68160125398131</v>
      </c>
      <c r="L146" s="64">
        <f t="shared" si="413"/>
        <v>199.77826563827438</v>
      </c>
      <c r="M146" s="64">
        <f t="shared" si="413"/>
        <v>196.29755222694359</v>
      </c>
      <c r="N146" s="64">
        <f t="shared" si="413"/>
        <v>206.53089063841017</v>
      </c>
      <c r="O146" s="64">
        <f t="shared" si="413"/>
        <v>218.38516717248618</v>
      </c>
      <c r="P146" s="64">
        <f t="shared" si="413"/>
        <v>213.79788868903205</v>
      </c>
      <c r="Q146" s="64">
        <f t="shared" si="413"/>
        <v>211.55227825352159</v>
      </c>
      <c r="R146" s="64">
        <f t="shared" si="413"/>
        <v>213.9890961351629</v>
      </c>
      <c r="S146" s="64">
        <f t="shared" si="413"/>
        <v>215.88989137188346</v>
      </c>
      <c r="T146" s="64">
        <f t="shared" si="413"/>
        <v>202.96301918526382</v>
      </c>
      <c r="U146" s="64">
        <f t="shared" si="413"/>
        <v>202.90633814688135</v>
      </c>
      <c r="V146" s="64">
        <f t="shared" si="413"/>
        <v>205.86209381932741</v>
      </c>
      <c r="W146" s="64">
        <f t="shared" si="413"/>
        <v>194.20911026873614</v>
      </c>
      <c r="X146" s="64">
        <f t="shared" si="413"/>
        <v>197.0085356916822</v>
      </c>
      <c r="Y146" s="64">
        <f t="shared" si="413"/>
        <v>183.90787720930973</v>
      </c>
    </row>
    <row r="147" spans="1:25">
      <c r="A147" t="str">
        <f t="shared" si="396"/>
        <v>68 Department of Administration for Human Services</v>
      </c>
      <c r="B147" t="str">
        <f t="shared" si="405"/>
        <v>068</v>
      </c>
      <c r="C147" s="64">
        <f t="shared" ref="C147" si="414">C55/1000000*$J$3/C$3</f>
        <v>12.926519473823225</v>
      </c>
      <c r="D147" s="64">
        <f t="shared" ref="D147" si="415">D55/1000000*$J$3/D$3</f>
        <v>12.577441231001799</v>
      </c>
      <c r="E147" s="64">
        <f t="shared" ref="E147" si="416">E55/1000000*$J$3/E$3</f>
        <v>12.549264726697151</v>
      </c>
      <c r="F147" s="64">
        <f t="shared" ref="F147" si="417">F55/1000000*$J$3/F$3</f>
        <v>12.167475651746189</v>
      </c>
      <c r="G147" s="64">
        <f t="shared" ref="G147" si="418">G55/1000000*$J$3/G$3</f>
        <v>12.476736842105263</v>
      </c>
      <c r="H147" s="64">
        <f t="shared" ref="H147" si="419">H55/1000000*$J$3/H$3</f>
        <v>12.413571077225773</v>
      </c>
      <c r="I147" s="64">
        <f t="shared" ref="I147" si="420">I55/1000000*$J$3/I$3</f>
        <v>11.772166</v>
      </c>
      <c r="J147" s="64">
        <f t="shared" ref="J147:Y147" si="421">J55/1000000*$J$3/J$3</f>
        <v>11.990603999999999</v>
      </c>
      <c r="K147" s="64">
        <f t="shared" si="421"/>
        <v>11.757056059592522</v>
      </c>
      <c r="L147" s="64">
        <f t="shared" si="421"/>
        <v>11.636978707852668</v>
      </c>
      <c r="M147" s="64">
        <f t="shared" si="421"/>
        <v>11.41583091865801</v>
      </c>
      <c r="N147" s="64">
        <f t="shared" si="421"/>
        <v>11.579289246506251</v>
      </c>
      <c r="O147" s="64">
        <f t="shared" si="421"/>
        <v>12.103412251591411</v>
      </c>
      <c r="P147" s="64">
        <f t="shared" si="421"/>
        <v>12.254820522077416</v>
      </c>
      <c r="Q147" s="64">
        <f t="shared" si="421"/>
        <v>12.102166304680191</v>
      </c>
      <c r="R147" s="64">
        <f t="shared" si="421"/>
        <v>12.342043943314321</v>
      </c>
      <c r="S147" s="64">
        <f t="shared" si="421"/>
        <v>12.113196898791603</v>
      </c>
      <c r="T147" s="64">
        <f t="shared" si="421"/>
        <v>11.677731404569437</v>
      </c>
      <c r="U147" s="64">
        <f t="shared" si="421"/>
        <v>15.147339754096015</v>
      </c>
      <c r="V147" s="64">
        <f t="shared" si="421"/>
        <v>15.056564952519921</v>
      </c>
      <c r="W147" s="64">
        <f t="shared" si="421"/>
        <v>14.238865015278563</v>
      </c>
      <c r="X147" s="64">
        <f t="shared" si="421"/>
        <v>13.25822754393438</v>
      </c>
      <c r="Y147" s="64">
        <f t="shared" si="421"/>
        <v>13.081241976208487</v>
      </c>
    </row>
    <row r="148" spans="1:25">
      <c r="A148" t="str">
        <f t="shared" si="396"/>
        <v xml:space="preserve">69 Department of Systems Management for Human Services </v>
      </c>
      <c r="B148" t="str">
        <f t="shared" si="405"/>
        <v>069</v>
      </c>
      <c r="C148" s="64">
        <f t="shared" ref="C148" si="422">C56/1000000*$J$3/C$3</f>
        <v>0</v>
      </c>
      <c r="D148" s="64">
        <f t="shared" ref="D148" si="423">D56/1000000*$J$3/D$3</f>
        <v>0</v>
      </c>
      <c r="E148" s="64">
        <f t="shared" ref="E148" si="424">E56/1000000*$J$3/E$3</f>
        <v>0</v>
      </c>
      <c r="F148" s="64">
        <f t="shared" ref="F148" si="425">F56/1000000*$J$3/F$3</f>
        <v>0</v>
      </c>
      <c r="G148" s="64">
        <f t="shared" ref="G148" si="426">G56/1000000*$J$3/G$3</f>
        <v>0</v>
      </c>
      <c r="H148" s="64">
        <f t="shared" ref="H148" si="427">H56/1000000*$J$3/H$3</f>
        <v>0</v>
      </c>
      <c r="I148" s="64">
        <f t="shared" ref="I148" si="428">I56/1000000*$J$3/I$3</f>
        <v>0</v>
      </c>
      <c r="J148" s="64">
        <f t="shared" ref="J148:Y148" si="429">J56/1000000*$J$3/J$3</f>
        <v>0</v>
      </c>
      <c r="K148" s="64">
        <f t="shared" si="429"/>
        <v>0</v>
      </c>
      <c r="L148" s="64">
        <f t="shared" si="429"/>
        <v>0</v>
      </c>
      <c r="M148" s="64">
        <f t="shared" si="429"/>
        <v>0</v>
      </c>
      <c r="N148" s="64">
        <f t="shared" si="429"/>
        <v>5.9398308872583199</v>
      </c>
      <c r="O148" s="64">
        <f t="shared" si="429"/>
        <v>6.1183317254405232</v>
      </c>
      <c r="P148" s="64">
        <f t="shared" si="429"/>
        <v>6.4251730383622156</v>
      </c>
      <c r="Q148" s="64">
        <f t="shared" si="429"/>
        <v>6.0940706641563214</v>
      </c>
      <c r="R148" s="64">
        <f t="shared" si="429"/>
        <v>6.1444108772081689</v>
      </c>
      <c r="S148" s="64">
        <f t="shared" si="429"/>
        <v>6.0037188870063156</v>
      </c>
      <c r="T148" s="64">
        <f t="shared" si="429"/>
        <v>6.327556699672666</v>
      </c>
      <c r="U148" s="64">
        <f t="shared" si="429"/>
        <v>5.8663067706847833</v>
      </c>
      <c r="V148" s="64">
        <f t="shared" si="429"/>
        <v>6.4614590363248112</v>
      </c>
      <c r="W148" s="64">
        <f t="shared" si="429"/>
        <v>5.90330705618483</v>
      </c>
      <c r="X148" s="64">
        <f t="shared" si="429"/>
        <v>5.3873521534930324</v>
      </c>
      <c r="Y148" s="64">
        <f t="shared" si="429"/>
        <v>4.3017348738795524</v>
      </c>
    </row>
    <row r="149" spans="1:25">
      <c r="A149" t="str">
        <f t="shared" si="396"/>
        <v>71 Health Department</v>
      </c>
      <c r="B149" t="str">
        <f t="shared" si="405"/>
        <v>071</v>
      </c>
      <c r="C149" s="64">
        <f t="shared" ref="C149" si="430">C57/1000000*$J$3/C$3</f>
        <v>56.063152765401377</v>
      </c>
      <c r="D149" s="64">
        <f t="shared" ref="D149" si="431">D57/1000000*$J$3/D$3</f>
        <v>53.309308364760597</v>
      </c>
      <c r="E149" s="64">
        <f t="shared" ref="E149" si="432">E57/1000000*$J$3/E$3</f>
        <v>52.926492509597537</v>
      </c>
      <c r="F149" s="64">
        <f t="shared" ref="F149" si="433">F57/1000000*$J$3/F$3</f>
        <v>51.031677324151495</v>
      </c>
      <c r="G149" s="64">
        <f t="shared" ref="G149" si="434">G57/1000000*$J$3/G$3</f>
        <v>55.948534185932118</v>
      </c>
      <c r="H149" s="64">
        <f t="shared" ref="H149" si="435">H57/1000000*$J$3/H$3</f>
        <v>52.394740777176587</v>
      </c>
      <c r="I149" s="64">
        <f t="shared" ref="I149" si="436">I57/1000000*$J$3/I$3</f>
        <v>51.779264999999995</v>
      </c>
      <c r="J149" s="64">
        <f t="shared" ref="J149:Y149" si="437">J57/1000000*$J$3/J$3</f>
        <v>55.778680999999992</v>
      </c>
      <c r="K149" s="64">
        <f t="shared" si="437"/>
        <v>51.926565786771178</v>
      </c>
      <c r="L149" s="64">
        <f t="shared" si="437"/>
        <v>52.87354495052751</v>
      </c>
      <c r="M149" s="64">
        <f t="shared" si="437"/>
        <v>49.102590696303821</v>
      </c>
      <c r="N149" s="64">
        <f t="shared" si="437"/>
        <v>50.567133335977154</v>
      </c>
      <c r="O149" s="64">
        <f t="shared" si="437"/>
        <v>52.32792781368093</v>
      </c>
      <c r="P149" s="64">
        <f t="shared" si="437"/>
        <v>49.736465026683327</v>
      </c>
      <c r="Q149" s="64">
        <f t="shared" si="437"/>
        <v>49.757910198825286</v>
      </c>
      <c r="R149" s="64">
        <f t="shared" si="437"/>
        <v>48.107787020205862</v>
      </c>
      <c r="S149" s="64">
        <f t="shared" si="437"/>
        <v>47.611122035244932</v>
      </c>
      <c r="T149" s="64">
        <f t="shared" si="437"/>
        <v>47.818191676458447</v>
      </c>
      <c r="U149" s="64">
        <f t="shared" si="437"/>
        <v>48.580781868209243</v>
      </c>
      <c r="V149" s="64">
        <f t="shared" si="437"/>
        <v>48.627290394428385</v>
      </c>
      <c r="W149" s="64">
        <f t="shared" si="437"/>
        <v>45.334294180670064</v>
      </c>
      <c r="X149" s="64">
        <f t="shared" si="437"/>
        <v>43.604528022998458</v>
      </c>
      <c r="Y149" s="64">
        <f t="shared" si="437"/>
        <v>40.899361482891159</v>
      </c>
    </row>
    <row r="150" spans="1:25">
      <c r="A150" t="str">
        <f t="shared" si="396"/>
        <v>73 Office to Prevent and End Homelessness</v>
      </c>
      <c r="B150" t="str">
        <f t="shared" si="405"/>
        <v>073</v>
      </c>
      <c r="C150" s="64">
        <f t="shared" ref="C150" si="438">C58/1000000*$J$3/C$3</f>
        <v>12.429048674353647</v>
      </c>
      <c r="D150" s="64">
        <f t="shared" ref="D150" si="439">D58/1000000*$J$3/D$3</f>
        <v>11.750580739974385</v>
      </c>
      <c r="E150" s="64">
        <f t="shared" ref="E150" si="440">E58/1000000*$J$3/E$3</f>
        <v>11.748572556748716</v>
      </c>
      <c r="F150" s="64">
        <f t="shared" ref="F150" si="441">F58/1000000*$J$3/F$3</f>
        <v>10.737427447122478</v>
      </c>
      <c r="G150" s="64">
        <f t="shared" ref="G150" si="442">G58/1000000*$J$3/G$3</f>
        <v>12.928546974913921</v>
      </c>
      <c r="H150" s="64">
        <f t="shared" ref="H150" si="443">H58/1000000*$J$3/H$3</f>
        <v>12.091376291195278</v>
      </c>
      <c r="I150" s="64">
        <f t="shared" ref="I150" si="444">I58/1000000*$J$3/I$3</f>
        <v>11.359749000000001</v>
      </c>
      <c r="J150" s="64">
        <f t="shared" ref="J150:Y150" si="445">J58/1000000*$J$3/J$3</f>
        <v>12.332988</v>
      </c>
      <c r="K150" s="64">
        <f t="shared" si="445"/>
        <v>11.179522739300696</v>
      </c>
      <c r="L150" s="64">
        <f t="shared" si="445"/>
        <v>11.518264129206385</v>
      </c>
      <c r="M150" s="64">
        <f t="shared" si="445"/>
        <v>9.4368580490532636</v>
      </c>
      <c r="N150" s="64">
        <f t="shared" si="445"/>
        <v>0.34121531422127038</v>
      </c>
      <c r="O150" s="64">
        <f t="shared" si="445"/>
        <v>0.238940909256523</v>
      </c>
      <c r="P150" s="64">
        <f t="shared" si="445"/>
        <v>0</v>
      </c>
      <c r="Q150" s="64">
        <f t="shared" si="445"/>
        <v>0</v>
      </c>
      <c r="R150" s="64">
        <f t="shared" si="445"/>
        <v>0</v>
      </c>
      <c r="S150" s="64">
        <f t="shared" si="445"/>
        <v>0</v>
      </c>
      <c r="T150" s="64">
        <f t="shared" si="445"/>
        <v>0</v>
      </c>
      <c r="U150" s="64">
        <f t="shared" si="445"/>
        <v>0</v>
      </c>
      <c r="V150" s="64">
        <f t="shared" si="445"/>
        <v>0</v>
      </c>
      <c r="W150" s="64">
        <f t="shared" si="445"/>
        <v>0</v>
      </c>
      <c r="X150" s="64">
        <f t="shared" si="445"/>
        <v>0</v>
      </c>
      <c r="Y150" s="64">
        <f t="shared" si="445"/>
        <v>0</v>
      </c>
    </row>
    <row r="151" spans="1:25">
      <c r="A151" t="str">
        <f t="shared" si="396"/>
        <v>79 Department of Neighborhood and Community Services</v>
      </c>
      <c r="B151" t="str">
        <f t="shared" si="405"/>
        <v>079</v>
      </c>
      <c r="C151" s="64">
        <f t="shared" ref="C151" si="446">C59/1000000*$J$3/C$3</f>
        <v>28.311620563881512</v>
      </c>
      <c r="D151" s="64">
        <f t="shared" ref="D151" si="447">D59/1000000*$J$3/D$3</f>
        <v>27.191725123751265</v>
      </c>
      <c r="E151" s="64">
        <f t="shared" ref="E151" si="448">E59/1000000*$J$3/E$3</f>
        <v>27.226956883822243</v>
      </c>
      <c r="F151" s="64">
        <f t="shared" ref="F151" si="449">F59/1000000*$J$3/F$3</f>
        <v>27.314568617806199</v>
      </c>
      <c r="G151" s="64">
        <f t="shared" ref="G151" si="450">G59/1000000*$J$3/G$3</f>
        <v>28.307797343826856</v>
      </c>
      <c r="H151" s="64">
        <f t="shared" ref="H151" si="451">H59/1000000*$J$3/H$3</f>
        <v>27.403942941465814</v>
      </c>
      <c r="I151" s="64">
        <f t="shared" ref="I151" si="452">I59/1000000*$J$3/I$3</f>
        <v>25.973254000000001</v>
      </c>
      <c r="J151" s="64">
        <f t="shared" ref="J151:Y151" si="453">J59/1000000*$J$3/J$3</f>
        <v>27.005787999999999</v>
      </c>
      <c r="K151" s="64">
        <f t="shared" si="453"/>
        <v>26.54649486349739</v>
      </c>
      <c r="L151" s="64">
        <f t="shared" si="453"/>
        <v>26.956719088555985</v>
      </c>
      <c r="M151" s="64">
        <f t="shared" si="453"/>
        <v>26.591583680396557</v>
      </c>
      <c r="N151" s="64">
        <f t="shared" si="453"/>
        <v>0</v>
      </c>
      <c r="O151" s="64">
        <f t="shared" si="453"/>
        <v>0</v>
      </c>
      <c r="P151" s="64">
        <f t="shared" si="453"/>
        <v>0</v>
      </c>
      <c r="Q151" s="64">
        <f t="shared" si="453"/>
        <v>0</v>
      </c>
      <c r="R151" s="64">
        <f t="shared" si="453"/>
        <v>0</v>
      </c>
      <c r="S151" s="64">
        <f t="shared" si="453"/>
        <v>0</v>
      </c>
      <c r="T151" s="64">
        <f t="shared" si="453"/>
        <v>0</v>
      </c>
      <c r="U151" s="64">
        <f t="shared" si="453"/>
        <v>0</v>
      </c>
      <c r="V151" s="64">
        <f t="shared" si="453"/>
        <v>0</v>
      </c>
      <c r="W151" s="64">
        <f t="shared" si="453"/>
        <v>0</v>
      </c>
      <c r="X151" s="64">
        <f t="shared" si="453"/>
        <v>0</v>
      </c>
      <c r="Y151" s="64">
        <f t="shared" si="453"/>
        <v>0</v>
      </c>
    </row>
    <row r="152" spans="1:25">
      <c r="A152" t="str">
        <f t="shared" si="396"/>
        <v>88 Contributory Agencies</v>
      </c>
      <c r="B152" t="str">
        <f t="shared" si="405"/>
        <v>088</v>
      </c>
      <c r="C152" s="64">
        <f t="shared" ref="C152" si="454">C60/1000000*$J$3/C$3</f>
        <v>0</v>
      </c>
      <c r="D152" s="64">
        <f t="shared" ref="D152" si="455">D60/1000000*$J$3/D$3</f>
        <v>0</v>
      </c>
      <c r="E152" s="64">
        <f t="shared" ref="E152" si="456">E60/1000000*$J$3/E$3</f>
        <v>0</v>
      </c>
      <c r="F152" s="64">
        <f t="shared" ref="F152" si="457">F60/1000000*$J$3/F$3</f>
        <v>0</v>
      </c>
      <c r="G152" s="64">
        <f t="shared" ref="G152" si="458">G60/1000000*$J$3/G$3</f>
        <v>0</v>
      </c>
      <c r="H152" s="64">
        <f t="shared" ref="H152" si="459">H60/1000000*$J$3/H$3</f>
        <v>0</v>
      </c>
      <c r="I152" s="64">
        <f t="shared" ref="I152" si="460">I60/1000000*$J$3/I$3</f>
        <v>0</v>
      </c>
      <c r="J152" s="64">
        <f t="shared" ref="J152:Y152" si="461">J60/1000000*$J$3/J$3</f>
        <v>0</v>
      </c>
      <c r="K152" s="64">
        <f t="shared" si="461"/>
        <v>0</v>
      </c>
      <c r="L152" s="64">
        <f t="shared" si="461"/>
        <v>0</v>
      </c>
      <c r="M152" s="64">
        <f t="shared" si="461"/>
        <v>0</v>
      </c>
      <c r="N152" s="64">
        <f t="shared" si="461"/>
        <v>0</v>
      </c>
      <c r="O152" s="64">
        <f t="shared" si="461"/>
        <v>0</v>
      </c>
      <c r="P152" s="64">
        <f t="shared" si="461"/>
        <v>0</v>
      </c>
      <c r="Q152" s="64">
        <f t="shared" si="461"/>
        <v>0</v>
      </c>
      <c r="R152" s="64">
        <f t="shared" si="461"/>
        <v>0</v>
      </c>
      <c r="S152" s="64">
        <f t="shared" si="461"/>
        <v>0</v>
      </c>
      <c r="T152" s="64">
        <f t="shared" si="461"/>
        <v>0</v>
      </c>
      <c r="U152" s="64">
        <f t="shared" si="461"/>
        <v>0</v>
      </c>
      <c r="V152" s="64">
        <f t="shared" si="461"/>
        <v>0</v>
      </c>
      <c r="W152" s="64">
        <f t="shared" si="461"/>
        <v>0</v>
      </c>
      <c r="X152" s="64">
        <f t="shared" si="461"/>
        <v>1.0171791456600852</v>
      </c>
      <c r="Y152" s="64">
        <f t="shared" si="461"/>
        <v>0.92033387319027626</v>
      </c>
    </row>
    <row r="153" spans="1:25">
      <c r="A153" t="str">
        <f t="shared" si="396"/>
        <v>Total Health and Welfare</v>
      </c>
      <c r="C153" s="64">
        <f t="shared" ref="C153" si="462">C61/1000000*$J$3/C$3</f>
        <v>302.29376470319568</v>
      </c>
      <c r="D153" s="64">
        <f t="shared" ref="D153" si="463">D61/1000000*$J$3/D$3</f>
        <v>294.19952776240723</v>
      </c>
      <c r="E153" s="64">
        <f t="shared" ref="E153" si="464">E61/1000000*$J$3/E$3</f>
        <v>291.13935751202064</v>
      </c>
      <c r="F153" s="64">
        <f t="shared" ref="F153" si="465">F61/1000000*$J$3/F$3</f>
        <v>281.62677225774718</v>
      </c>
      <c r="G153" s="64">
        <f t="shared" ref="G153" si="466">G61/1000000*$J$3/G$3</f>
        <v>301.0059045745204</v>
      </c>
      <c r="H153" s="64">
        <f t="shared" ref="H153" si="467">H61/1000000*$J$3/H$3</f>
        <v>290.98052631578946</v>
      </c>
      <c r="I153" s="64">
        <f t="shared" ref="I153" si="468">I61/1000000*$J$3/I$3</f>
        <v>280.79140699999999</v>
      </c>
      <c r="J153" s="64">
        <f t="shared" ref="J153:Y153" si="469">J61/1000000*$J$3/J$3</f>
        <v>298.00422600000007</v>
      </c>
      <c r="K153" s="64">
        <f t="shared" si="469"/>
        <v>286.09124070314311</v>
      </c>
      <c r="L153" s="64">
        <f t="shared" si="469"/>
        <v>302.76377251441693</v>
      </c>
      <c r="M153" s="64">
        <f t="shared" si="469"/>
        <v>292.84441557135528</v>
      </c>
      <c r="N153" s="64">
        <f t="shared" si="469"/>
        <v>274.95835942237318</v>
      </c>
      <c r="O153" s="64">
        <f t="shared" si="469"/>
        <v>289.17377987245561</v>
      </c>
      <c r="P153" s="64">
        <f t="shared" si="469"/>
        <v>282.21434727615502</v>
      </c>
      <c r="Q153" s="64">
        <f t="shared" si="469"/>
        <v>279.50642542118339</v>
      </c>
      <c r="R153" s="64">
        <f t="shared" si="469"/>
        <v>280.58333797589125</v>
      </c>
      <c r="S153" s="64">
        <f t="shared" si="469"/>
        <v>281.61792919292628</v>
      </c>
      <c r="T153" s="64">
        <f t="shared" si="469"/>
        <v>268.78649896596437</v>
      </c>
      <c r="U153" s="64">
        <f t="shared" si="469"/>
        <v>273.03509936718211</v>
      </c>
      <c r="V153" s="64">
        <f t="shared" si="469"/>
        <v>276.63936875406063</v>
      </c>
      <c r="W153" s="64">
        <f t="shared" si="469"/>
        <v>260.21609545300964</v>
      </c>
      <c r="X153" s="64">
        <f t="shared" si="469"/>
        <v>260.72984320688448</v>
      </c>
      <c r="Y153" s="64">
        <f t="shared" si="469"/>
        <v>243.54379365230398</v>
      </c>
    </row>
    <row r="154" spans="1:25">
      <c r="C154" s="64"/>
      <c r="D154" s="64"/>
      <c r="E154" s="64"/>
      <c r="F154" s="64"/>
      <c r="G154" s="64"/>
      <c r="H154" s="64"/>
      <c r="I154" s="64"/>
      <c r="J154" s="64"/>
      <c r="K154" s="64"/>
      <c r="L154" s="64"/>
      <c r="M154" s="64"/>
      <c r="N154" s="64"/>
      <c r="O154" s="64"/>
      <c r="P154" s="64"/>
      <c r="Q154" s="64"/>
      <c r="R154" s="64"/>
      <c r="S154" s="64"/>
      <c r="T154" s="64"/>
      <c r="U154" s="64"/>
      <c r="V154" s="64"/>
      <c r="W154" s="64"/>
      <c r="X154" s="64"/>
      <c r="Y154" s="64"/>
    </row>
    <row r="155" spans="1:25">
      <c r="A155" t="str">
        <f t="shared" ref="A155:A160" si="470">A62</f>
        <v>Parks and Libraries</v>
      </c>
      <c r="C155" s="64"/>
      <c r="D155" s="64"/>
      <c r="E155" s="64"/>
      <c r="F155" s="64"/>
      <c r="G155" s="64"/>
      <c r="H155" s="64"/>
      <c r="I155" s="64"/>
      <c r="J155" s="64"/>
      <c r="K155" s="64"/>
      <c r="L155" s="64"/>
      <c r="M155" s="64"/>
      <c r="N155" s="64"/>
      <c r="O155" s="64"/>
      <c r="P155" s="64"/>
      <c r="Q155" s="64"/>
      <c r="R155" s="64"/>
      <c r="S155" s="64"/>
      <c r="T155" s="64"/>
      <c r="U155" s="64"/>
      <c r="V155" s="64"/>
      <c r="W155" s="64"/>
      <c r="X155" s="64"/>
      <c r="Y155" s="64"/>
    </row>
    <row r="156" spans="1:25">
      <c r="A156" t="str">
        <f t="shared" si="470"/>
        <v xml:space="preserve">50 Department of Community and Recreation Services </v>
      </c>
      <c r="B156" t="str">
        <f>B63</f>
        <v>050</v>
      </c>
      <c r="C156" s="64">
        <f t="shared" ref="C156" si="471">C63/1000000*$J$3/C$3</f>
        <v>0</v>
      </c>
      <c r="D156" s="64">
        <f t="shared" ref="D156" si="472">D63/1000000*$J$3/D$3</f>
        <v>0</v>
      </c>
      <c r="E156" s="64">
        <f t="shared" ref="E156" si="473">E63/1000000*$J$3/E$3</f>
        <v>0</v>
      </c>
      <c r="F156" s="64">
        <f t="shared" ref="F156" si="474">F63/1000000*$J$3/F$3</f>
        <v>0</v>
      </c>
      <c r="G156" s="64">
        <f t="shared" ref="G156" si="475">G63/1000000*$J$3/G$3</f>
        <v>0</v>
      </c>
      <c r="H156" s="64">
        <f t="shared" ref="H156" si="476">H63/1000000*$J$3/H$3</f>
        <v>0</v>
      </c>
      <c r="I156" s="64">
        <f t="shared" ref="I156" si="477">I63/1000000*$J$3/I$3</f>
        <v>0</v>
      </c>
      <c r="J156" s="64">
        <f t="shared" ref="J156:Y156" si="478">J63/1000000*$J$3/J$3</f>
        <v>0</v>
      </c>
      <c r="K156" s="64">
        <f t="shared" si="478"/>
        <v>0</v>
      </c>
      <c r="L156" s="64">
        <f t="shared" si="478"/>
        <v>0</v>
      </c>
      <c r="M156" s="64">
        <f t="shared" si="478"/>
        <v>0</v>
      </c>
      <c r="N156" s="64">
        <f t="shared" si="478"/>
        <v>20.321550840924655</v>
      </c>
      <c r="O156" s="64">
        <f t="shared" si="478"/>
        <v>23.954656241861933</v>
      </c>
      <c r="P156" s="64">
        <f t="shared" si="478"/>
        <v>24.568260192598341</v>
      </c>
      <c r="Q156" s="64">
        <f t="shared" si="478"/>
        <v>21.01048150867247</v>
      </c>
      <c r="R156" s="64">
        <f t="shared" si="478"/>
        <v>17.193058047089949</v>
      </c>
      <c r="S156" s="64">
        <f t="shared" si="478"/>
        <v>14.449306482258065</v>
      </c>
      <c r="T156" s="64">
        <f t="shared" si="478"/>
        <v>13.937045381404623</v>
      </c>
      <c r="U156" s="64">
        <f t="shared" si="478"/>
        <v>16.495134075142211</v>
      </c>
      <c r="V156" s="64">
        <f t="shared" si="478"/>
        <v>15.015347330439134</v>
      </c>
      <c r="W156" s="64">
        <f t="shared" si="478"/>
        <v>19.073877060662529</v>
      </c>
      <c r="X156" s="64">
        <f t="shared" si="478"/>
        <v>18.49011744888502</v>
      </c>
      <c r="Y156" s="64">
        <f t="shared" si="478"/>
        <v>16.23933796417667</v>
      </c>
    </row>
    <row r="157" spans="1:25">
      <c r="A157" t="str">
        <f t="shared" si="470"/>
        <v>51 Fairfax County Park Authority</v>
      </c>
      <c r="B157" t="str">
        <f>B64</f>
        <v>051</v>
      </c>
      <c r="C157" s="64">
        <f t="shared" ref="C157" si="479">C64/1000000*$J$3/C$3</f>
        <v>23.126950940241905</v>
      </c>
      <c r="D157" s="64">
        <f t="shared" ref="D157" si="480">D64/1000000*$J$3/D$3</f>
        <v>22.685481004643258</v>
      </c>
      <c r="E157" s="64">
        <f t="shared" ref="E157" si="481">E64/1000000*$J$3/E$3</f>
        <v>22.677476337915781</v>
      </c>
      <c r="F157" s="64">
        <f t="shared" ref="F157" si="482">F64/1000000*$J$3/F$3</f>
        <v>22.710920806689622</v>
      </c>
      <c r="G157" s="64">
        <f t="shared" ref="G157" si="483">G64/1000000*$J$3/G$3</f>
        <v>23.34291195277914</v>
      </c>
      <c r="H157" s="64">
        <f t="shared" ref="H157" si="484">H64/1000000*$J$3/H$3</f>
        <v>23.142435809149038</v>
      </c>
      <c r="I157" s="64">
        <f t="shared" ref="I157" si="485">I64/1000000*$J$3/I$3</f>
        <v>23.036746999999998</v>
      </c>
      <c r="J157" s="64">
        <f t="shared" ref="J157:Y157" si="486">J64/1000000*$J$3/J$3</f>
        <v>23.307449999999999</v>
      </c>
      <c r="K157" s="64">
        <f t="shared" si="486"/>
        <v>23.023785909541282</v>
      </c>
      <c r="L157" s="64">
        <f t="shared" si="486"/>
        <v>22.703785522729081</v>
      </c>
      <c r="M157" s="64">
        <f t="shared" si="486"/>
        <v>22.901569463309713</v>
      </c>
      <c r="N157" s="64">
        <f t="shared" si="486"/>
        <v>25.082781815622287</v>
      </c>
      <c r="O157" s="64">
        <f t="shared" si="486"/>
        <v>28.338779157467787</v>
      </c>
      <c r="P157" s="64">
        <f t="shared" si="486"/>
        <v>28.604392859110959</v>
      </c>
      <c r="Q157" s="64">
        <f t="shared" si="486"/>
        <v>29.458659071243808</v>
      </c>
      <c r="R157" s="64">
        <f t="shared" si="486"/>
        <v>28.592621961166504</v>
      </c>
      <c r="S157" s="64">
        <f t="shared" si="486"/>
        <v>27.956216347502988</v>
      </c>
      <c r="T157" s="64">
        <f t="shared" si="486"/>
        <v>27.772488462629259</v>
      </c>
      <c r="U157" s="64">
        <f t="shared" si="486"/>
        <v>31.194369577416673</v>
      </c>
      <c r="V157" s="64">
        <f t="shared" si="486"/>
        <v>31.424936457481014</v>
      </c>
      <c r="W157" s="64">
        <f t="shared" si="486"/>
        <v>26.492041603436856</v>
      </c>
      <c r="X157" s="64">
        <f t="shared" si="486"/>
        <v>25.626973245210998</v>
      </c>
      <c r="Y157" s="64">
        <f t="shared" si="486"/>
        <v>25.605689298526414</v>
      </c>
    </row>
    <row r="158" spans="1:25">
      <c r="A158" t="str">
        <f t="shared" si="470"/>
        <v>52 Fairfax County Public Library</v>
      </c>
      <c r="B158" t="str">
        <f>B65</f>
        <v>052</v>
      </c>
      <c r="C158" s="64">
        <f t="shared" ref="C158" si="487">C65/1000000*$J$3/C$3</f>
        <v>26.742194350746065</v>
      </c>
      <c r="D158" s="64">
        <f t="shared" ref="D158" si="488">D65/1000000*$J$3/D$3</f>
        <v>26.778154547361549</v>
      </c>
      <c r="E158" s="64">
        <f t="shared" ref="E158" si="489">E65/1000000*$J$3/E$3</f>
        <v>26.723590999371172</v>
      </c>
      <c r="F158" s="64">
        <f t="shared" ref="F158" si="490">F65/1000000*$J$3/F$3</f>
        <v>26.413358583374322</v>
      </c>
      <c r="G158" s="64">
        <f t="shared" ref="G158" si="491">G65/1000000*$J$3/G$3</f>
        <v>29.429332021642892</v>
      </c>
      <c r="H158" s="64">
        <f t="shared" ref="H158" si="492">H65/1000000*$J$3/H$3</f>
        <v>27.376780127889816</v>
      </c>
      <c r="I158" s="64">
        <f t="shared" ref="I158" si="493">I65/1000000*$J$3/I$3</f>
        <v>26.577259000000002</v>
      </c>
      <c r="J158" s="64">
        <f t="shared" ref="J158:Y158" si="494">J65/1000000*$J$3/J$3</f>
        <v>28.922906999999995</v>
      </c>
      <c r="K158" s="64">
        <f t="shared" si="494"/>
        <v>27.226535536328761</v>
      </c>
      <c r="L158" s="64">
        <f t="shared" si="494"/>
        <v>26.119537606680201</v>
      </c>
      <c r="M158" s="64">
        <f t="shared" si="494"/>
        <v>27.352567929672098</v>
      </c>
      <c r="N158" s="64">
        <f t="shared" si="494"/>
        <v>30.301281546189209</v>
      </c>
      <c r="O158" s="64">
        <f t="shared" si="494"/>
        <v>34.705788853532646</v>
      </c>
      <c r="P158" s="64">
        <f t="shared" si="494"/>
        <v>35.165064402159594</v>
      </c>
      <c r="Q158" s="64">
        <f t="shared" si="494"/>
        <v>38.612178924642215</v>
      </c>
      <c r="R158" s="64">
        <f t="shared" si="494"/>
        <v>38.071738877498348</v>
      </c>
      <c r="S158" s="64">
        <f t="shared" si="494"/>
        <v>34.66080762618536</v>
      </c>
      <c r="T158" s="64">
        <f t="shared" si="494"/>
        <v>33.202761201513148</v>
      </c>
      <c r="U158" s="64">
        <f t="shared" si="494"/>
        <v>35.178855412829712</v>
      </c>
      <c r="V158" s="64">
        <f t="shared" si="494"/>
        <v>34.262302976662966</v>
      </c>
      <c r="W158" s="64">
        <f t="shared" si="494"/>
        <v>36.346487311923589</v>
      </c>
      <c r="X158" s="64">
        <f t="shared" si="494"/>
        <v>34.153899269510262</v>
      </c>
      <c r="Y158" s="64">
        <f t="shared" si="494"/>
        <v>35.625672599407764</v>
      </c>
    </row>
    <row r="159" spans="1:25">
      <c r="A159" t="str">
        <f t="shared" si="470"/>
        <v>88 Contributory Agencies</v>
      </c>
      <c r="B159" t="str">
        <f>B66</f>
        <v>088</v>
      </c>
      <c r="C159" s="64">
        <f t="shared" ref="C159" si="495">C66/1000000*$J$3/C$3</f>
        <v>0</v>
      </c>
      <c r="D159" s="64">
        <f t="shared" ref="D159" si="496">D66/1000000*$J$3/D$3</f>
        <v>0</v>
      </c>
      <c r="E159" s="64">
        <f t="shared" ref="E159" si="497">E66/1000000*$J$3/E$3</f>
        <v>0</v>
      </c>
      <c r="F159" s="64">
        <f t="shared" ref="F159" si="498">F66/1000000*$J$3/F$3</f>
        <v>0</v>
      </c>
      <c r="G159" s="64">
        <f t="shared" ref="G159" si="499">G66/1000000*$J$3/G$3</f>
        <v>0</v>
      </c>
      <c r="H159" s="64">
        <f t="shared" ref="H159" si="500">H66/1000000*$J$3/H$3</f>
        <v>0</v>
      </c>
      <c r="I159" s="64">
        <f t="shared" ref="I159" si="501">I66/1000000*$J$3/I$3</f>
        <v>0</v>
      </c>
      <c r="J159" s="64">
        <f t="shared" ref="J159:Y159" si="502">J66/1000000*$J$3/J$3</f>
        <v>0</v>
      </c>
      <c r="K159" s="64">
        <f t="shared" si="502"/>
        <v>0</v>
      </c>
      <c r="L159" s="64">
        <f t="shared" si="502"/>
        <v>0</v>
      </c>
      <c r="M159" s="64">
        <f t="shared" si="502"/>
        <v>0</v>
      </c>
      <c r="N159" s="64">
        <f t="shared" si="502"/>
        <v>0</v>
      </c>
      <c r="O159" s="64">
        <f t="shared" si="502"/>
        <v>0</v>
      </c>
      <c r="P159" s="64">
        <f t="shared" si="502"/>
        <v>0</v>
      </c>
      <c r="Q159" s="64">
        <f t="shared" si="502"/>
        <v>0</v>
      </c>
      <c r="R159" s="64">
        <f t="shared" si="502"/>
        <v>0</v>
      </c>
      <c r="S159" s="64">
        <f t="shared" si="502"/>
        <v>0</v>
      </c>
      <c r="T159" s="64">
        <f t="shared" si="502"/>
        <v>0</v>
      </c>
      <c r="U159" s="64">
        <f t="shared" si="502"/>
        <v>0</v>
      </c>
      <c r="V159" s="64">
        <f t="shared" si="502"/>
        <v>0</v>
      </c>
      <c r="W159" s="64">
        <f t="shared" si="502"/>
        <v>0</v>
      </c>
      <c r="X159" s="64">
        <f t="shared" si="502"/>
        <v>3.2776685932539689</v>
      </c>
      <c r="Y159" s="64">
        <f t="shared" si="502"/>
        <v>2.710533902311925</v>
      </c>
    </row>
    <row r="160" spans="1:25">
      <c r="A160" t="str">
        <f t="shared" si="470"/>
        <v>Total Parks and Libraries</v>
      </c>
      <c r="C160" s="64">
        <f t="shared" ref="C160" si="503">C67/1000000*$J$3/C$3</f>
        <v>49.869145290987973</v>
      </c>
      <c r="D160" s="64">
        <f t="shared" ref="D160" si="504">D67/1000000*$J$3/D$3</f>
        <v>49.46363555200481</v>
      </c>
      <c r="E160" s="64">
        <f t="shared" ref="E160" si="505">E67/1000000*$J$3/E$3</f>
        <v>49.401067337286953</v>
      </c>
      <c r="F160" s="64">
        <f t="shared" ref="F160" si="506">F67/1000000*$J$3/F$3</f>
        <v>49.124279390063947</v>
      </c>
      <c r="G160" s="64">
        <f t="shared" ref="G160" si="507">G67/1000000*$J$3/G$3</f>
        <v>52.772243974422032</v>
      </c>
      <c r="H160" s="64">
        <f t="shared" ref="H160" si="508">H67/1000000*$J$3/H$3</f>
        <v>50.519215937038858</v>
      </c>
      <c r="I160" s="64">
        <f t="shared" ref="I160" si="509">I67/1000000*$J$3/I$3</f>
        <v>49.614006000000003</v>
      </c>
      <c r="J160" s="64">
        <f t="shared" ref="J160:Y160" si="510">J67/1000000*$J$3/J$3</f>
        <v>52.230356999999998</v>
      </c>
      <c r="K160" s="64">
        <f t="shared" si="510"/>
        <v>50.250321445870043</v>
      </c>
      <c r="L160" s="64">
        <f t="shared" si="510"/>
        <v>48.823323129409275</v>
      </c>
      <c r="M160" s="64">
        <f t="shared" si="510"/>
        <v>50.254137392981818</v>
      </c>
      <c r="N160" s="64">
        <f t="shared" si="510"/>
        <v>75.705614202736157</v>
      </c>
      <c r="O160" s="64">
        <f t="shared" si="510"/>
        <v>86.999224252862376</v>
      </c>
      <c r="P160" s="64">
        <f t="shared" si="510"/>
        <v>88.337717453868905</v>
      </c>
      <c r="Q160" s="64">
        <f t="shared" si="510"/>
        <v>89.081319504558493</v>
      </c>
      <c r="R160" s="64">
        <f t="shared" si="510"/>
        <v>83.857418885754811</v>
      </c>
      <c r="S160" s="64">
        <f t="shared" si="510"/>
        <v>77.066330455946414</v>
      </c>
      <c r="T160" s="64">
        <f t="shared" si="510"/>
        <v>74.912295045547026</v>
      </c>
      <c r="U160" s="64">
        <f t="shared" si="510"/>
        <v>82.868359065388589</v>
      </c>
      <c r="V160" s="64">
        <f t="shared" si="510"/>
        <v>80.702586764583103</v>
      </c>
      <c r="W160" s="64">
        <f t="shared" si="510"/>
        <v>81.912405976022981</v>
      </c>
      <c r="X160" s="64">
        <f t="shared" si="510"/>
        <v>81.548658556860261</v>
      </c>
      <c r="Y160" s="64">
        <f t="shared" si="510"/>
        <v>80.181233764422785</v>
      </c>
    </row>
    <row r="161" spans="1:25">
      <c r="C161" s="64"/>
      <c r="D161" s="64"/>
      <c r="E161" s="64"/>
      <c r="F161" s="64"/>
      <c r="G161" s="64"/>
      <c r="H161" s="64"/>
      <c r="I161" s="64"/>
      <c r="J161" s="64"/>
      <c r="K161" s="64"/>
      <c r="L161" s="64"/>
      <c r="M161" s="64"/>
      <c r="N161" s="64"/>
      <c r="O161" s="64"/>
      <c r="P161" s="64"/>
      <c r="Q161" s="64"/>
      <c r="R161" s="64"/>
      <c r="S161" s="64"/>
      <c r="T161" s="64"/>
      <c r="U161" s="64"/>
      <c r="V161" s="64"/>
      <c r="W161" s="64"/>
      <c r="X161" s="64"/>
      <c r="Y161" s="64"/>
    </row>
    <row r="162" spans="1:25">
      <c r="A162" t="str">
        <f t="shared" ref="A162:A172" si="511">A68</f>
        <v>Community Development</v>
      </c>
      <c r="C162" s="64"/>
      <c r="D162" s="64"/>
      <c r="E162" s="64"/>
      <c r="F162" s="64"/>
      <c r="G162" s="64"/>
      <c r="H162" s="64"/>
      <c r="I162" s="64"/>
      <c r="J162" s="64"/>
      <c r="K162" s="64"/>
      <c r="L162" s="64"/>
      <c r="M162" s="64"/>
      <c r="N162" s="64"/>
      <c r="O162" s="64"/>
      <c r="P162" s="64"/>
      <c r="Q162" s="64"/>
      <c r="R162" s="64"/>
      <c r="S162" s="64"/>
      <c r="T162" s="64"/>
      <c r="U162" s="64"/>
      <c r="V162" s="64"/>
      <c r="W162" s="64"/>
      <c r="X162" s="64"/>
      <c r="Y162" s="64"/>
    </row>
    <row r="163" spans="1:25">
      <c r="A163" t="str">
        <f t="shared" si="511"/>
        <v>16 Economic Development Authority</v>
      </c>
      <c r="B163" t="str">
        <f t="shared" ref="B163:B171" si="512">B69</f>
        <v>016</v>
      </c>
      <c r="C163" s="64">
        <f t="shared" ref="C163" si="513">C69/1000000*$J$3/C$3</f>
        <v>7.2543157607463389</v>
      </c>
      <c r="D163" s="64">
        <f t="shared" ref="D163" si="514">D69/1000000*$J$3/D$3</f>
        <v>7.2228301882683867</v>
      </c>
      <c r="E163" s="64">
        <f t="shared" ref="E163" si="515">E69/1000000*$J$3/E$3</f>
        <v>7.2142041944898834</v>
      </c>
      <c r="F163" s="64">
        <f t="shared" ref="F163" si="516">F69/1000000*$J$3/F$3</f>
        <v>7.2168421052631579</v>
      </c>
      <c r="G163" s="64">
        <f t="shared" ref="G163" si="517">G69/1000000*$J$3/G$3</f>
        <v>7.2168450565666502</v>
      </c>
      <c r="H163" s="64">
        <f t="shared" ref="H163" si="518">H69/1000000*$J$3/H$3</f>
        <v>7.2168450565666502</v>
      </c>
      <c r="I163" s="64">
        <f t="shared" ref="I163" si="519">I69/1000000*$J$3/I$3</f>
        <v>7.2880750000000001</v>
      </c>
      <c r="J163" s="64">
        <f t="shared" ref="J163:Y163" si="520">J69/1000000*$J$3/J$3</f>
        <v>7.2880830000000003</v>
      </c>
      <c r="K163" s="64">
        <f t="shared" si="520"/>
        <v>7.310289118547229</v>
      </c>
      <c r="L163" s="64">
        <f t="shared" si="520"/>
        <v>7.3140040252452962</v>
      </c>
      <c r="M163" s="64">
        <f t="shared" si="520"/>
        <v>7.1818898215080385</v>
      </c>
      <c r="N163" s="64">
        <f t="shared" si="520"/>
        <v>7.3798224602349851</v>
      </c>
      <c r="O163" s="64">
        <f t="shared" si="520"/>
        <v>7.2940642300077227</v>
      </c>
      <c r="P163" s="64">
        <f t="shared" si="520"/>
        <v>7.3045999077191999</v>
      </c>
      <c r="Q163" s="64">
        <f t="shared" si="520"/>
        <v>7.5680159650585352</v>
      </c>
      <c r="R163" s="64">
        <f t="shared" si="520"/>
        <v>7.5311505134986785</v>
      </c>
      <c r="S163" s="64">
        <f t="shared" si="520"/>
        <v>7.5084154169397515</v>
      </c>
      <c r="T163" s="64">
        <f t="shared" si="520"/>
        <v>8.3456115832901006</v>
      </c>
      <c r="U163" s="64">
        <f t="shared" si="520"/>
        <v>8.4436456975271739</v>
      </c>
      <c r="V163" s="64">
        <f t="shared" si="520"/>
        <v>9.0743512432091897</v>
      </c>
      <c r="W163" s="64">
        <f t="shared" si="520"/>
        <v>8.9739903525484657</v>
      </c>
      <c r="X163" s="64">
        <f t="shared" si="520"/>
        <v>8.9823324460985301</v>
      </c>
      <c r="Y163" s="64">
        <f t="shared" si="520"/>
        <v>9.1441760050170071</v>
      </c>
    </row>
    <row r="164" spans="1:25">
      <c r="A164" t="str">
        <f t="shared" si="511"/>
        <v>30 Environmental Services Administration Division</v>
      </c>
      <c r="B164" t="str">
        <f t="shared" si="512"/>
        <v>030</v>
      </c>
      <c r="C164" s="64">
        <f t="shared" ref="C164" si="521">C70/1000000*$J$3/C$3</f>
        <v>0</v>
      </c>
      <c r="D164" s="64">
        <f t="shared" ref="D164" si="522">D70/1000000*$J$3/D$3</f>
        <v>0</v>
      </c>
      <c r="E164" s="64">
        <f t="shared" ref="E164" si="523">E70/1000000*$J$3/E$3</f>
        <v>0</v>
      </c>
      <c r="F164" s="64">
        <f t="shared" ref="F164" si="524">F70/1000000*$J$3/F$3</f>
        <v>0</v>
      </c>
      <c r="G164" s="64">
        <f t="shared" ref="G164" si="525">G70/1000000*$J$3/G$3</f>
        <v>0</v>
      </c>
      <c r="H164" s="64">
        <f t="shared" ref="H164" si="526">H70/1000000*$J$3/H$3</f>
        <v>0</v>
      </c>
      <c r="I164" s="64">
        <f t="shared" ref="I164" si="527">I70/1000000*$J$3/I$3</f>
        <v>0</v>
      </c>
      <c r="J164" s="64">
        <f t="shared" ref="J164:Y164" si="528">J70/1000000*$J$3/J$3</f>
        <v>0</v>
      </c>
      <c r="K164" s="64">
        <f t="shared" si="528"/>
        <v>0</v>
      </c>
      <c r="L164" s="64">
        <f t="shared" si="528"/>
        <v>0</v>
      </c>
      <c r="M164" s="64">
        <f t="shared" si="528"/>
        <v>0</v>
      </c>
      <c r="N164" s="64">
        <f t="shared" si="528"/>
        <v>0</v>
      </c>
      <c r="O164" s="64">
        <f t="shared" si="528"/>
        <v>0</v>
      </c>
      <c r="P164" s="64">
        <f t="shared" si="528"/>
        <v>0</v>
      </c>
      <c r="Q164" s="64">
        <f t="shared" si="528"/>
        <v>0</v>
      </c>
      <c r="R164" s="64">
        <f t="shared" si="528"/>
        <v>0</v>
      </c>
      <c r="S164" s="64">
        <f t="shared" si="528"/>
        <v>0</v>
      </c>
      <c r="T164" s="64">
        <f t="shared" si="528"/>
        <v>0</v>
      </c>
      <c r="U164" s="64">
        <f t="shared" si="528"/>
        <v>0</v>
      </c>
      <c r="V164" s="64">
        <f t="shared" si="528"/>
        <v>0</v>
      </c>
      <c r="W164" s="64">
        <f t="shared" si="528"/>
        <v>0</v>
      </c>
      <c r="X164" s="64">
        <f t="shared" si="528"/>
        <v>3.3459522672502913</v>
      </c>
      <c r="Y164" s="64">
        <f t="shared" si="528"/>
        <v>3.147221186746699</v>
      </c>
    </row>
    <row r="165" spans="1:25">
      <c r="A165" t="str">
        <f t="shared" si="511"/>
        <v>31 Land Development Services</v>
      </c>
      <c r="B165" t="str">
        <f t="shared" si="512"/>
        <v>031</v>
      </c>
      <c r="C165" s="64">
        <f t="shared" ref="C165" si="529">C71/1000000*$J$3/C$3</f>
        <v>14.618166262139002</v>
      </c>
      <c r="D165" s="64">
        <f t="shared" ref="D165" si="530">D71/1000000*$J$3/D$3</f>
        <v>14.429090687376924</v>
      </c>
      <c r="E165" s="64">
        <f t="shared" ref="E165" si="531">E71/1000000*$J$3/E$3</f>
        <v>14.431455020687915</v>
      </c>
      <c r="F165" s="64">
        <f t="shared" ref="F165" si="532">F71/1000000*$J$3/F$3</f>
        <v>12.456538121003442</v>
      </c>
      <c r="G165" s="64">
        <f t="shared" ref="G165" si="533">G71/1000000*$J$3/G$3</f>
        <v>13.337957697983274</v>
      </c>
      <c r="H165" s="64">
        <f t="shared" ref="H165" si="534">H71/1000000*$J$3/H$3</f>
        <v>12.920350221347762</v>
      </c>
      <c r="I165" s="64">
        <f t="shared" ref="I165" si="535">I71/1000000*$J$3/I$3</f>
        <v>11.840624999999999</v>
      </c>
      <c r="J165" s="64">
        <f t="shared" ref="J165:Y165" si="536">J71/1000000*$J$3/J$3</f>
        <v>14.536595</v>
      </c>
      <c r="K165" s="64">
        <f t="shared" si="536"/>
        <v>11.766936788332616</v>
      </c>
      <c r="L165" s="64">
        <f t="shared" si="536"/>
        <v>11.502678928992383</v>
      </c>
      <c r="M165" s="64">
        <f t="shared" si="536"/>
        <v>12.441089442670799</v>
      </c>
      <c r="N165" s="64">
        <f t="shared" si="536"/>
        <v>14.651043495955168</v>
      </c>
      <c r="O165" s="64">
        <f t="shared" si="536"/>
        <v>16.417311136328468</v>
      </c>
      <c r="P165" s="64">
        <f t="shared" si="536"/>
        <v>15.958220909324691</v>
      </c>
      <c r="Q165" s="64">
        <f t="shared" si="536"/>
        <v>16.564953949387164</v>
      </c>
      <c r="R165" s="64">
        <f t="shared" si="536"/>
        <v>15.340113736868387</v>
      </c>
      <c r="S165" s="64">
        <f t="shared" si="536"/>
        <v>14.105982068754054</v>
      </c>
      <c r="T165" s="64">
        <f t="shared" si="536"/>
        <v>11.243372548005118</v>
      </c>
      <c r="U165" s="64">
        <f t="shared" si="536"/>
        <v>11.419869625887682</v>
      </c>
      <c r="V165" s="64">
        <f t="shared" si="536"/>
        <v>11.369985404392255</v>
      </c>
      <c r="W165" s="64">
        <f t="shared" si="536"/>
        <v>10.874308055308679</v>
      </c>
      <c r="X165" s="64">
        <f t="shared" si="536"/>
        <v>10.634552921905732</v>
      </c>
      <c r="Y165" s="64">
        <f t="shared" si="536"/>
        <v>10.130145193563427</v>
      </c>
    </row>
    <row r="166" spans="1:25">
      <c r="A166" t="str">
        <f t="shared" si="511"/>
        <v>35 Department of Planning and Zoning</v>
      </c>
      <c r="B166" t="str">
        <f t="shared" si="512"/>
        <v>035</v>
      </c>
      <c r="C166" s="64">
        <f t="shared" ref="C166" si="537">C72/1000000*$J$3/C$3</f>
        <v>10.51513100183125</v>
      </c>
      <c r="D166" s="64">
        <f t="shared" ref="D166" si="538">D72/1000000*$J$3/D$3</f>
        <v>10.32709046429922</v>
      </c>
      <c r="E166" s="64">
        <f t="shared" ref="E166" si="539">E72/1000000*$J$3/E$3</f>
        <v>10.293556223928398</v>
      </c>
      <c r="F166" s="64">
        <f t="shared" ref="F166" si="540">F72/1000000*$J$3/F$3</f>
        <v>9.7359203148057052</v>
      </c>
      <c r="G166" s="64">
        <f t="shared" ref="G166" si="541">G72/1000000*$J$3/G$3</f>
        <v>10.723144121987211</v>
      </c>
      <c r="H166" s="64">
        <f t="shared" ref="H166" si="542">H72/1000000*$J$3/H$3</f>
        <v>10.218486965076242</v>
      </c>
      <c r="I166" s="64">
        <f t="shared" ref="I166" si="543">I72/1000000*$J$3/I$3</f>
        <v>10.000095999999999</v>
      </c>
      <c r="J166" s="64">
        <f t="shared" ref="J166:Y166" si="544">J72/1000000*$J$3/J$3</f>
        <v>10.696977</v>
      </c>
      <c r="K166" s="64">
        <f t="shared" si="544"/>
        <v>9.4482601268795943</v>
      </c>
      <c r="L166" s="64">
        <f t="shared" si="544"/>
        <v>9.4222500954242747</v>
      </c>
      <c r="M166" s="64">
        <f t="shared" si="544"/>
        <v>9.3326659652676476</v>
      </c>
      <c r="N166" s="64">
        <f t="shared" si="544"/>
        <v>11.6283755009707</v>
      </c>
      <c r="O166" s="64">
        <f t="shared" si="544"/>
        <v>12.489172685905773</v>
      </c>
      <c r="P166" s="64">
        <f t="shared" si="544"/>
        <v>12.169767119662369</v>
      </c>
      <c r="Q166" s="64">
        <f t="shared" si="544"/>
        <v>11.445496381481643</v>
      </c>
      <c r="R166" s="64">
        <f t="shared" si="544"/>
        <v>10.632209933845074</v>
      </c>
      <c r="S166" s="64">
        <f t="shared" si="544"/>
        <v>10.325156390576891</v>
      </c>
      <c r="T166" s="64">
        <f t="shared" si="544"/>
        <v>10.179534856068468</v>
      </c>
      <c r="U166" s="64">
        <f t="shared" si="544"/>
        <v>10.758055659436595</v>
      </c>
      <c r="V166" s="64">
        <f t="shared" si="544"/>
        <v>10.790688451542525</v>
      </c>
      <c r="W166" s="64">
        <f t="shared" si="544"/>
        <v>10.718469890169398</v>
      </c>
      <c r="X166" s="64">
        <f t="shared" si="544"/>
        <v>10.588895286416959</v>
      </c>
      <c r="Y166" s="64">
        <f t="shared" si="544"/>
        <v>10.476271657843139</v>
      </c>
    </row>
    <row r="167" spans="1:25">
      <c r="A167" t="str">
        <f t="shared" si="511"/>
        <v>36 Planning Commission</v>
      </c>
      <c r="B167" t="str">
        <f t="shared" si="512"/>
        <v>036</v>
      </c>
      <c r="C167" s="64">
        <f t="shared" ref="C167" si="545">C73/1000000*$J$3/C$3</f>
        <v>0.7864364597975313</v>
      </c>
      <c r="D167" s="64">
        <f t="shared" ref="D167" si="546">D73/1000000*$J$3/D$3</f>
        <v>0.7300950935244801</v>
      </c>
      <c r="E167" s="64">
        <f t="shared" ref="E167" si="547">E73/1000000*$J$3/E$3</f>
        <v>0.68197805563828895</v>
      </c>
      <c r="F167" s="64">
        <f t="shared" ref="F167" si="548">F73/1000000*$J$3/F$3</f>
        <v>0.623413674372848</v>
      </c>
      <c r="G167" s="64">
        <f t="shared" ref="G167" si="549">G73/1000000*$J$3/G$3</f>
        <v>0.67893064436792916</v>
      </c>
      <c r="H167" s="64">
        <f t="shared" ref="H167" si="550">H73/1000000*$J$3/H$3</f>
        <v>0.67893064436792916</v>
      </c>
      <c r="I167" s="64">
        <f t="shared" ref="I167" si="551">I73/1000000*$J$3/I$3</f>
        <v>0.70129800000000009</v>
      </c>
      <c r="J167" s="64">
        <f t="shared" ref="J167:Y167" si="552">J73/1000000*$J$3/J$3</f>
        <v>0.652841</v>
      </c>
      <c r="K167" s="64">
        <f t="shared" si="552"/>
        <v>0.68536059620423651</v>
      </c>
      <c r="L167" s="64">
        <f t="shared" si="552"/>
        <v>0.65728300575690335</v>
      </c>
      <c r="M167" s="64">
        <f t="shared" si="552"/>
        <v>0.68418310662734749</v>
      </c>
      <c r="N167" s="64">
        <f t="shared" si="552"/>
        <v>0.76772930008040752</v>
      </c>
      <c r="O167" s="64">
        <f t="shared" si="552"/>
        <v>0.79018062698431202</v>
      </c>
      <c r="P167" s="64">
        <f t="shared" si="552"/>
        <v>0.75934513913647295</v>
      </c>
      <c r="Q167" s="64">
        <f t="shared" si="552"/>
        <v>0.73738596995382832</v>
      </c>
      <c r="R167" s="64">
        <f t="shared" si="552"/>
        <v>0.77456409959325401</v>
      </c>
      <c r="S167" s="64">
        <f t="shared" si="552"/>
        <v>0.75697631762587481</v>
      </c>
      <c r="T167" s="64">
        <f t="shared" si="552"/>
        <v>0.76971462316393158</v>
      </c>
      <c r="U167" s="64">
        <f t="shared" si="552"/>
        <v>0.82058802431793476</v>
      </c>
      <c r="V167" s="64">
        <f t="shared" si="552"/>
        <v>0.8222601097368909</v>
      </c>
      <c r="W167" s="64">
        <f t="shared" si="552"/>
        <v>0.80091815292960677</v>
      </c>
      <c r="X167" s="64">
        <f t="shared" si="552"/>
        <v>0.66329569540456845</v>
      </c>
      <c r="Y167" s="64">
        <f t="shared" si="552"/>
        <v>0.72340377037014825</v>
      </c>
    </row>
    <row r="168" spans="1:25">
      <c r="A168" t="str">
        <f t="shared" si="511"/>
        <v>38 Department of Housing and Community Development</v>
      </c>
      <c r="B168" t="str">
        <f t="shared" si="512"/>
        <v>038</v>
      </c>
      <c r="C168" s="64">
        <f t="shared" ref="C168" si="553">C74/1000000*$J$3/C$3</f>
        <v>6.1000734643394967</v>
      </c>
      <c r="D168" s="64">
        <f t="shared" ref="D168" si="554">D74/1000000*$J$3/D$3</f>
        <v>6.0539601252235311</v>
      </c>
      <c r="E168" s="64">
        <f t="shared" ref="E168" si="555">E74/1000000*$J$3/E$3</f>
        <v>6.0424713815744102</v>
      </c>
      <c r="F168" s="64">
        <f t="shared" ref="F168" si="556">F74/1000000*$J$3/F$3</f>
        <v>5.7054402361042795</v>
      </c>
      <c r="G168" s="64">
        <f t="shared" ref="G168" si="557">G74/1000000*$J$3/G$3</f>
        <v>6.368146581406787</v>
      </c>
      <c r="H168" s="64">
        <f t="shared" ref="H168" si="558">H74/1000000*$J$3/H$3</f>
        <v>6.3030122970978848</v>
      </c>
      <c r="I168" s="64">
        <f t="shared" ref="I168" si="559">I74/1000000*$J$3/I$3</f>
        <v>5.5614169999999996</v>
      </c>
      <c r="J168" s="64">
        <f t="shared" ref="J168:Y168" si="560">J74/1000000*$J$3/J$3</f>
        <v>6.2996280000000002</v>
      </c>
      <c r="K168" s="64">
        <f t="shared" si="560"/>
        <v>5.2348930102354343</v>
      </c>
      <c r="L168" s="64">
        <f t="shared" si="560"/>
        <v>5.389711779676218</v>
      </c>
      <c r="M168" s="64">
        <f t="shared" si="560"/>
        <v>6.1298886626569411</v>
      </c>
      <c r="N168" s="64">
        <f t="shared" si="560"/>
        <v>7.1501648413114065</v>
      </c>
      <c r="O168" s="64">
        <f t="shared" si="560"/>
        <v>6.9900458962082688</v>
      </c>
      <c r="P168" s="64">
        <f t="shared" si="560"/>
        <v>7.9616254288042132</v>
      </c>
      <c r="Q168" s="64">
        <f t="shared" si="560"/>
        <v>7.2338117523439536</v>
      </c>
      <c r="R168" s="64">
        <f t="shared" si="560"/>
        <v>7.0208290685085997</v>
      </c>
      <c r="S168" s="64">
        <f t="shared" si="560"/>
        <v>6.2543549698182277</v>
      </c>
      <c r="T168" s="64">
        <f t="shared" si="560"/>
        <v>6.700481957031057</v>
      </c>
      <c r="U168" s="64">
        <f t="shared" si="560"/>
        <v>6.8542003611367761</v>
      </c>
      <c r="V168" s="64">
        <f t="shared" si="560"/>
        <v>7.325744750390033</v>
      </c>
      <c r="W168" s="64">
        <f t="shared" si="560"/>
        <v>6.2897310599115377</v>
      </c>
      <c r="X168" s="64">
        <f t="shared" si="560"/>
        <v>5.366712664119242</v>
      </c>
      <c r="Y168" s="64">
        <f t="shared" si="560"/>
        <v>5.0526972349839943</v>
      </c>
    </row>
    <row r="169" spans="1:25">
      <c r="A169" t="str">
        <f t="shared" si="511"/>
        <v>39 Office of Human Rights and Equity Programs</v>
      </c>
      <c r="B169" t="str">
        <f t="shared" si="512"/>
        <v>039</v>
      </c>
      <c r="C169" s="64">
        <f t="shared" ref="C169" si="561">C75/1000000*$J$3/C$3</f>
        <v>1.4638182456532898</v>
      </c>
      <c r="D169" s="64">
        <f t="shared" ref="D169" si="562">D75/1000000*$J$3/D$3</f>
        <v>1.4853568360129674</v>
      </c>
      <c r="E169" s="64">
        <f t="shared" ref="E169" si="563">E75/1000000*$J$3/E$3</f>
        <v>1.4817875927665725</v>
      </c>
      <c r="F169" s="64">
        <f t="shared" ref="F169" si="564">F75/1000000*$J$3/F$3</f>
        <v>1.3600127889818003</v>
      </c>
      <c r="G169" s="64">
        <f t="shared" ref="G169" si="565">G75/1000000*$J$3/G$3</f>
        <v>1.513300541072307</v>
      </c>
      <c r="H169" s="64">
        <f t="shared" ref="H169" si="566">H75/1000000*$J$3/H$3</f>
        <v>1.513300541072307</v>
      </c>
      <c r="I169" s="64">
        <f t="shared" ref="I169" si="567">I75/1000000*$J$3/I$3</f>
        <v>1.3264199999999999</v>
      </c>
      <c r="J169" s="64">
        <f t="shared" ref="J169:Y169" si="568">J75/1000000*$J$3/J$3</f>
        <v>1.5212669999999999</v>
      </c>
      <c r="K169" s="64">
        <f t="shared" si="568"/>
        <v>1.4372563104584715</v>
      </c>
      <c r="L169" s="64">
        <f t="shared" si="568"/>
        <v>1.5051096485330804</v>
      </c>
      <c r="M169" s="64">
        <f t="shared" si="568"/>
        <v>1.5101148072412174</v>
      </c>
      <c r="N169" s="64">
        <f t="shared" si="568"/>
        <v>1.7540554454024044</v>
      </c>
      <c r="O169" s="64">
        <f t="shared" si="568"/>
        <v>1.864894430284753</v>
      </c>
      <c r="P169" s="64">
        <f t="shared" si="568"/>
        <v>1.2320115031606622</v>
      </c>
      <c r="Q169" s="64">
        <f t="shared" si="568"/>
        <v>1.2492296528119404</v>
      </c>
      <c r="R169" s="64">
        <f t="shared" si="568"/>
        <v>1.3153512346031746</v>
      </c>
      <c r="S169" s="64">
        <f t="shared" si="568"/>
        <v>1.4488180669994881</v>
      </c>
      <c r="T169" s="64">
        <f t="shared" si="568"/>
        <v>1.5260860490462325</v>
      </c>
      <c r="U169" s="64">
        <f t="shared" si="568"/>
        <v>1.554207672625906</v>
      </c>
      <c r="V169" s="64">
        <f t="shared" si="568"/>
        <v>1.5447067773299983</v>
      </c>
      <c r="W169" s="64">
        <f t="shared" si="568"/>
        <v>1.5122414917946547</v>
      </c>
      <c r="X169" s="64">
        <f t="shared" si="568"/>
        <v>1.4405780678523039</v>
      </c>
      <c r="Y169" s="64">
        <f t="shared" si="568"/>
        <v>1.2070986726290518</v>
      </c>
    </row>
    <row r="170" spans="1:25">
      <c r="A170" t="str">
        <f t="shared" si="511"/>
        <v>40 Department of Transportation</v>
      </c>
      <c r="B170" t="str">
        <f t="shared" si="512"/>
        <v>040</v>
      </c>
      <c r="C170" s="64">
        <f t="shared" ref="C170" si="569">C76/1000000*$J$3/C$3</f>
        <v>7.7891828941050782</v>
      </c>
      <c r="D170" s="64">
        <f t="shared" ref="D170" si="570">D76/1000000*$J$3/D$3</f>
        <v>7.6034084918084268</v>
      </c>
      <c r="E170" s="64">
        <f t="shared" ref="E170" si="571">E76/1000000*$J$3/E$3</f>
        <v>7.5820191629069686</v>
      </c>
      <c r="F170" s="64">
        <f t="shared" ref="F170" si="572">F76/1000000*$J$3/F$3</f>
        <v>7.4163797343826854</v>
      </c>
      <c r="G170" s="64">
        <f t="shared" ref="G170" si="573">G76/1000000*$J$3/G$3</f>
        <v>8.6472247909493358</v>
      </c>
      <c r="H170" s="64">
        <f t="shared" ref="H170" si="574">H76/1000000*$J$3/H$3</f>
        <v>7.5182666010821446</v>
      </c>
      <c r="I170" s="64">
        <f t="shared" ref="I170" si="575">I76/1000000*$J$3/I$3</f>
        <v>7.5138439999999997</v>
      </c>
      <c r="J170" s="64">
        <f t="shared" ref="J170:Y170" si="576">J76/1000000*$J$3/J$3</f>
        <v>8.8714750000000002</v>
      </c>
      <c r="K170" s="64">
        <f t="shared" si="576"/>
        <v>7.5144380022865453</v>
      </c>
      <c r="L170" s="64">
        <f t="shared" si="576"/>
        <v>8.3060373343217915</v>
      </c>
      <c r="M170" s="64">
        <f t="shared" si="576"/>
        <v>7.992463187993792</v>
      </c>
      <c r="N170" s="64">
        <f t="shared" si="576"/>
        <v>8.3063989314709694</v>
      </c>
      <c r="O170" s="64">
        <f t="shared" si="576"/>
        <v>8.3493999128774998</v>
      </c>
      <c r="P170" s="64">
        <f t="shared" si="576"/>
        <v>8.1412356343695489</v>
      </c>
      <c r="Q170" s="64">
        <f t="shared" si="576"/>
        <v>7.2464191389435486</v>
      </c>
      <c r="R170" s="64">
        <f t="shared" si="576"/>
        <v>6.4393141533969906</v>
      </c>
      <c r="S170" s="64">
        <f t="shared" si="576"/>
        <v>7.9154016160923373</v>
      </c>
      <c r="T170" s="64">
        <f t="shared" si="576"/>
        <v>7.3480437259599443</v>
      </c>
      <c r="U170" s="64">
        <f t="shared" si="576"/>
        <v>6.2264506704936604</v>
      </c>
      <c r="V170" s="64">
        <f t="shared" si="576"/>
        <v>5.5079478689818417</v>
      </c>
      <c r="W170" s="64">
        <f t="shared" si="576"/>
        <v>5.0134250291718434</v>
      </c>
      <c r="X170" s="64">
        <f t="shared" si="576"/>
        <v>4.2169667642237716</v>
      </c>
      <c r="Y170" s="64">
        <f t="shared" si="576"/>
        <v>3.5538290523579441</v>
      </c>
    </row>
    <row r="171" spans="1:25">
      <c r="A171" t="str">
        <f t="shared" si="511"/>
        <v>88 Contributory Agencies</v>
      </c>
      <c r="B171" t="str">
        <f t="shared" si="512"/>
        <v>088</v>
      </c>
      <c r="C171" s="64">
        <f t="shared" ref="C171" si="577">C77/1000000*$J$3/C$3</f>
        <v>0</v>
      </c>
      <c r="D171" s="64">
        <f t="shared" ref="D171" si="578">D77/1000000*$J$3/D$3</f>
        <v>0</v>
      </c>
      <c r="E171" s="64">
        <f t="shared" ref="E171" si="579">E77/1000000*$J$3/E$3</f>
        <v>0</v>
      </c>
      <c r="F171" s="64">
        <f t="shared" ref="F171" si="580">F77/1000000*$J$3/F$3</f>
        <v>0</v>
      </c>
      <c r="G171" s="64">
        <f t="shared" ref="G171" si="581">G77/1000000*$J$3/G$3</f>
        <v>0</v>
      </c>
      <c r="H171" s="64">
        <f t="shared" ref="H171" si="582">H77/1000000*$J$3/H$3</f>
        <v>0</v>
      </c>
      <c r="I171" s="64">
        <f t="shared" ref="I171" si="583">I77/1000000*$J$3/I$3</f>
        <v>0</v>
      </c>
      <c r="J171" s="64">
        <f t="shared" ref="J171:Y171" si="584">J77/1000000*$J$3/J$3</f>
        <v>0</v>
      </c>
      <c r="K171" s="64">
        <f t="shared" si="584"/>
        <v>0</v>
      </c>
      <c r="L171" s="64">
        <f t="shared" si="584"/>
        <v>0</v>
      </c>
      <c r="M171" s="64">
        <f t="shared" si="584"/>
        <v>0</v>
      </c>
      <c r="N171" s="64">
        <f t="shared" si="584"/>
        <v>0</v>
      </c>
      <c r="O171" s="64">
        <f t="shared" si="584"/>
        <v>0</v>
      </c>
      <c r="P171" s="64">
        <f t="shared" si="584"/>
        <v>0</v>
      </c>
      <c r="Q171" s="64">
        <f t="shared" si="584"/>
        <v>0</v>
      </c>
      <c r="R171" s="64">
        <f t="shared" si="584"/>
        <v>0</v>
      </c>
      <c r="S171" s="64">
        <f t="shared" si="584"/>
        <v>0</v>
      </c>
      <c r="T171" s="64">
        <f t="shared" si="584"/>
        <v>0</v>
      </c>
      <c r="U171" s="64">
        <f t="shared" si="584"/>
        <v>0</v>
      </c>
      <c r="V171" s="64">
        <f t="shared" si="584"/>
        <v>0</v>
      </c>
      <c r="W171" s="64">
        <f t="shared" si="584"/>
        <v>0</v>
      </c>
      <c r="X171" s="64">
        <f t="shared" si="584"/>
        <v>0.94253026578881161</v>
      </c>
      <c r="Y171" s="64">
        <f t="shared" si="584"/>
        <v>0.9392159271078433</v>
      </c>
    </row>
    <row r="172" spans="1:25">
      <c r="A172" t="str">
        <f t="shared" si="511"/>
        <v>Total Community Development</v>
      </c>
      <c r="C172" s="64">
        <f t="shared" ref="C172" si="585">C78/1000000*$J$3/C$3</f>
        <v>48.527124088611984</v>
      </c>
      <c r="D172" s="64">
        <f t="shared" ref="D172" si="586">D78/1000000*$J$3/D$3</f>
        <v>47.851831886513935</v>
      </c>
      <c r="E172" s="64">
        <f t="shared" ref="E172" si="587">E78/1000000*$J$3/E$3</f>
        <v>47.727471631992437</v>
      </c>
      <c r="F172" s="64">
        <f t="shared" ref="F172" si="588">F78/1000000*$J$3/F$3</f>
        <v>44.51454697491392</v>
      </c>
      <c r="G172" s="64">
        <f t="shared" ref="G172" si="589">G78/1000000*$J$3/G$3</f>
        <v>48.4855494343335</v>
      </c>
      <c r="H172" s="64">
        <f t="shared" ref="H172" si="590">H78/1000000*$J$3/H$3</f>
        <v>46.369192326610914</v>
      </c>
      <c r="I172" s="64">
        <f t="shared" ref="I172" si="591">I78/1000000*$J$3/I$3</f>
        <v>44.231774999999999</v>
      </c>
      <c r="J172" s="64">
        <f t="shared" ref="J172:Y172" si="592">J78/1000000*$J$3/J$3</f>
        <v>49.866866000000002</v>
      </c>
      <c r="K172" s="64">
        <f t="shared" si="592"/>
        <v>43.397433952944134</v>
      </c>
      <c r="L172" s="64">
        <f t="shared" si="592"/>
        <v>44.097074817949945</v>
      </c>
      <c r="M172" s="64">
        <f t="shared" si="592"/>
        <v>45.272294993965779</v>
      </c>
      <c r="N172" s="64">
        <f t="shared" si="592"/>
        <v>51.637589975426046</v>
      </c>
      <c r="O172" s="64">
        <f t="shared" si="592"/>
        <v>54.195068918596796</v>
      </c>
      <c r="P172" s="64">
        <f t="shared" si="592"/>
        <v>53.526805642177159</v>
      </c>
      <c r="Q172" s="64">
        <f t="shared" si="592"/>
        <v>52.045312809980608</v>
      </c>
      <c r="R172" s="64">
        <f t="shared" si="592"/>
        <v>49.053532740314161</v>
      </c>
      <c r="S172" s="64">
        <f t="shared" si="592"/>
        <v>48.315104846806626</v>
      </c>
      <c r="T172" s="64">
        <f t="shared" si="592"/>
        <v>46.112845342564853</v>
      </c>
      <c r="U172" s="64">
        <f t="shared" si="592"/>
        <v>46.077017711425725</v>
      </c>
      <c r="V172" s="64">
        <f t="shared" si="592"/>
        <v>46.435684605582736</v>
      </c>
      <c r="W172" s="64">
        <f t="shared" si="592"/>
        <v>44.183084031834184</v>
      </c>
      <c r="X172" s="64">
        <f t="shared" si="592"/>
        <v>46.181816379060209</v>
      </c>
      <c r="Y172" s="64">
        <f t="shared" si="592"/>
        <v>44.374058700619251</v>
      </c>
    </row>
    <row r="173" spans="1:25">
      <c r="C173" s="64"/>
      <c r="D173" s="64"/>
      <c r="E173" s="64"/>
      <c r="F173" s="64"/>
      <c r="G173" s="64"/>
      <c r="H173" s="64"/>
      <c r="I173" s="64"/>
      <c r="J173" s="64"/>
      <c r="K173" s="64"/>
      <c r="L173" s="64"/>
      <c r="M173" s="64"/>
      <c r="N173" s="64"/>
      <c r="O173" s="64"/>
      <c r="P173" s="64"/>
      <c r="Q173" s="64"/>
      <c r="R173" s="64"/>
      <c r="S173" s="64"/>
      <c r="T173" s="64"/>
      <c r="U173" s="64"/>
      <c r="V173" s="64"/>
      <c r="W173" s="64"/>
      <c r="X173" s="64"/>
      <c r="Y173" s="64"/>
    </row>
    <row r="174" spans="1:25">
      <c r="A174" t="str">
        <f>A79</f>
        <v>Nondepartmental</v>
      </c>
      <c r="C174" s="64"/>
      <c r="D174" s="64"/>
      <c r="E174" s="64"/>
      <c r="F174" s="64"/>
      <c r="G174" s="64"/>
      <c r="H174" s="64"/>
      <c r="I174" s="64"/>
      <c r="J174" s="64"/>
      <c r="K174" s="64"/>
      <c r="L174" s="64"/>
      <c r="M174" s="64"/>
      <c r="N174" s="64"/>
      <c r="O174" s="64"/>
      <c r="P174" s="64"/>
      <c r="Q174" s="64"/>
      <c r="R174" s="64"/>
      <c r="S174" s="64"/>
      <c r="T174" s="64"/>
      <c r="U174" s="64"/>
      <c r="V174" s="64"/>
      <c r="W174" s="64"/>
      <c r="X174" s="64"/>
      <c r="Y174" s="64"/>
    </row>
    <row r="175" spans="1:25">
      <c r="A175" t="str">
        <f>A80</f>
        <v>87 Unclassified Administrative Expenses</v>
      </c>
      <c r="B175" t="str">
        <f>B80</f>
        <v>087</v>
      </c>
      <c r="C175" s="64">
        <f t="shared" ref="C175" si="593">C80/1000000*$J$3/C$3</f>
        <v>7.1866273136217735</v>
      </c>
      <c r="D175" s="64">
        <f t="shared" ref="D175" si="594">D80/1000000*$J$3/D$3</f>
        <v>-1.1613589738812786</v>
      </c>
      <c r="E175" s="64">
        <f t="shared" ref="E175" si="595">E80/1000000*$J$3/E$3</f>
        <v>-1.1613589738812786</v>
      </c>
      <c r="F175" s="64">
        <f t="shared" ref="F175" si="596">F80/1000000*$J$3/F$3</f>
        <v>1.9675356615838661E-3</v>
      </c>
      <c r="G175" s="64">
        <f t="shared" ref="G175" si="597">G80/1000000*$J$3/G$3</f>
        <v>-1.1707879980324642</v>
      </c>
      <c r="H175" s="64">
        <f t="shared" ref="H175" si="598">H80/1000000*$J$3/H$3</f>
        <v>-1.1805213969503197</v>
      </c>
      <c r="I175" s="64">
        <f t="shared" ref="I175" si="599">I80/1000000*$J$3/I$3</f>
        <v>8.6923E-2</v>
      </c>
      <c r="J175" s="64">
        <f t="shared" ref="J175:Y175" si="600">J80/1000000*$J$3/J$3</f>
        <v>-0.50002100000000005</v>
      </c>
      <c r="K175" s="64">
        <f t="shared" si="600"/>
        <v>8.5226493522233174E-2</v>
      </c>
      <c r="L175" s="64">
        <f t="shared" si="600"/>
        <v>0.10704243399378685</v>
      </c>
      <c r="M175" s="64">
        <f t="shared" si="600"/>
        <v>8.9784107755059711E-2</v>
      </c>
      <c r="N175" s="64">
        <f t="shared" si="600"/>
        <v>1.1155107273001739</v>
      </c>
      <c r="O175" s="64">
        <f t="shared" si="600"/>
        <v>4.4014143652470201</v>
      </c>
      <c r="P175" s="64">
        <f t="shared" si="600"/>
        <v>0</v>
      </c>
      <c r="Q175" s="64">
        <f t="shared" si="600"/>
        <v>0</v>
      </c>
      <c r="R175" s="64">
        <f t="shared" si="600"/>
        <v>5.8922175768022493E-2</v>
      </c>
      <c r="S175" s="64">
        <f t="shared" si="600"/>
        <v>9.2642183503848781</v>
      </c>
      <c r="T175" s="64">
        <f t="shared" si="600"/>
        <v>7.8843420030262932</v>
      </c>
      <c r="U175" s="64">
        <f t="shared" si="600"/>
        <v>7.0817488486394939</v>
      </c>
      <c r="V175" s="64">
        <f t="shared" si="600"/>
        <v>4.2778606936946453</v>
      </c>
      <c r="W175" s="64">
        <f t="shared" si="600"/>
        <v>4.6591321786815358</v>
      </c>
      <c r="X175" s="64">
        <f t="shared" si="600"/>
        <v>4.3296309082104152</v>
      </c>
      <c r="Y175" s="64">
        <f t="shared" si="600"/>
        <v>4.1374973820228096</v>
      </c>
    </row>
    <row r="176" spans="1:25">
      <c r="A176" t="str">
        <f>A81</f>
        <v>88 Contributory Agencies</v>
      </c>
      <c r="B176" t="str">
        <f>B81</f>
        <v>088</v>
      </c>
      <c r="C176" s="64">
        <f t="shared" ref="C176" si="601">C81/1000000*$J$3/C$3</f>
        <v>0</v>
      </c>
      <c r="D176" s="64">
        <f t="shared" ref="D176" si="602">D81/1000000*$J$3/D$3</f>
        <v>0</v>
      </c>
      <c r="E176" s="64">
        <f t="shared" ref="E176" si="603">E81/1000000*$J$3/E$3</f>
        <v>0</v>
      </c>
      <c r="F176" s="64">
        <f t="shared" ref="F176" si="604">F81/1000000*$J$3/F$3</f>
        <v>0</v>
      </c>
      <c r="G176" s="64">
        <f t="shared" ref="G176" si="605">G81/1000000*$J$3/G$3</f>
        <v>0</v>
      </c>
      <c r="H176" s="64">
        <f t="shared" ref="H176" si="606">H81/1000000*$J$3/H$3</f>
        <v>0</v>
      </c>
      <c r="I176" s="64">
        <f t="shared" ref="I176" si="607">I81/1000000*$J$3/I$3</f>
        <v>0</v>
      </c>
      <c r="J176" s="64">
        <f t="shared" ref="J176:Y176" si="608">J81/1000000*$J$3/J$3</f>
        <v>0</v>
      </c>
      <c r="K176" s="64">
        <f t="shared" si="608"/>
        <v>0</v>
      </c>
      <c r="L176" s="64">
        <f t="shared" si="608"/>
        <v>0</v>
      </c>
      <c r="M176" s="64">
        <f t="shared" si="608"/>
        <v>0</v>
      </c>
      <c r="N176" s="64">
        <f t="shared" si="608"/>
        <v>0</v>
      </c>
      <c r="O176" s="64">
        <f t="shared" si="608"/>
        <v>0</v>
      </c>
      <c r="P176" s="64">
        <f t="shared" si="608"/>
        <v>0</v>
      </c>
      <c r="Q176" s="64">
        <f t="shared" si="608"/>
        <v>0</v>
      </c>
      <c r="R176" s="64">
        <f t="shared" si="608"/>
        <v>0</v>
      </c>
      <c r="S176" s="64">
        <f t="shared" si="608"/>
        <v>0</v>
      </c>
      <c r="T176" s="64">
        <f t="shared" si="608"/>
        <v>0</v>
      </c>
      <c r="U176" s="64">
        <f t="shared" si="608"/>
        <v>0</v>
      </c>
      <c r="V176" s="64">
        <f t="shared" si="608"/>
        <v>0</v>
      </c>
      <c r="W176" s="64">
        <f t="shared" si="608"/>
        <v>0</v>
      </c>
      <c r="X176" s="64">
        <f t="shared" si="608"/>
        <v>4.1243234610917542E-2</v>
      </c>
      <c r="Y176" s="64">
        <f t="shared" si="608"/>
        <v>2.8419707883153268E-2</v>
      </c>
    </row>
    <row r="177" spans="1:25">
      <c r="A177" t="str">
        <f>A82</f>
        <v>89 Employee Benefits</v>
      </c>
      <c r="B177" t="str">
        <f>B82</f>
        <v>089</v>
      </c>
      <c r="C177" s="64">
        <f t="shared" ref="C177" si="609">C82/1000000*$J$3/C$3</f>
        <v>342.34091290706266</v>
      </c>
      <c r="D177" s="64">
        <f t="shared" ref="D177" si="610">D82/1000000*$J$3/D$3</f>
        <v>328.78689619313792</v>
      </c>
      <c r="E177" s="64">
        <f t="shared" ref="E177" si="611">E82/1000000*$J$3/E$3</f>
        <v>328.51868227371824</v>
      </c>
      <c r="F177" s="64">
        <f t="shared" ref="F177" si="612">F82/1000000*$J$3/F$3</f>
        <v>303.32898967043775</v>
      </c>
      <c r="G177" s="64">
        <f t="shared" ref="G177" si="613">G82/1000000*$J$3/G$3</f>
        <v>310.78420659124447</v>
      </c>
      <c r="H177" s="64">
        <f t="shared" ref="H177" si="614">H82/1000000*$J$3/H$3</f>
        <v>310.27823512051157</v>
      </c>
      <c r="I177" s="64">
        <f t="shared" ref="I177" si="615">I82/1000000*$J$3/I$3</f>
        <v>287.62637799999999</v>
      </c>
      <c r="J177" s="64">
        <f t="shared" ref="J177:Y177" si="616">J82/1000000*$J$3/J$3</f>
        <v>301.11538100000001</v>
      </c>
      <c r="K177" s="64">
        <f t="shared" si="616"/>
        <v>284.04465246260099</v>
      </c>
      <c r="L177" s="64">
        <f t="shared" si="616"/>
        <v>269.5765533478783</v>
      </c>
      <c r="M177" s="64">
        <f t="shared" si="616"/>
        <v>247.56998411344921</v>
      </c>
      <c r="N177" s="64">
        <f t="shared" si="616"/>
        <v>220.26353273437252</v>
      </c>
      <c r="O177" s="64">
        <f t="shared" si="616"/>
        <v>221.96396978726747</v>
      </c>
      <c r="P177" s="64">
        <f t="shared" si="616"/>
        <v>217.93320396071894</v>
      </c>
      <c r="Q177" s="64">
        <f t="shared" si="616"/>
        <v>212.83901265502246</v>
      </c>
      <c r="R177" s="64">
        <f t="shared" si="616"/>
        <v>195.57632544651543</v>
      </c>
      <c r="S177" s="64">
        <f t="shared" si="616"/>
        <v>201.18613654237839</v>
      </c>
      <c r="T177" s="64">
        <f t="shared" si="616"/>
        <v>175.84664331668344</v>
      </c>
      <c r="U177" s="64">
        <f t="shared" si="616"/>
        <v>176.395537591654</v>
      </c>
      <c r="V177" s="64">
        <f t="shared" si="616"/>
        <v>150.49555640725865</v>
      </c>
      <c r="W177" s="64">
        <f t="shared" si="616"/>
        <v>156.52148917974404</v>
      </c>
      <c r="X177" s="64">
        <f t="shared" si="616"/>
        <v>141.40345132097465</v>
      </c>
      <c r="Y177" s="64">
        <f t="shared" si="616"/>
        <v>132.95995640926074</v>
      </c>
    </row>
    <row r="178" spans="1:25">
      <c r="A178" t="str">
        <f>A83</f>
        <v>Total Nondepartmental</v>
      </c>
      <c r="C178" s="64">
        <f t="shared" ref="C178" si="617">C83/1000000*$J$3/C$3</f>
        <v>349.52754022068444</v>
      </c>
      <c r="D178" s="64">
        <f t="shared" ref="D178" si="618">D83/1000000*$J$3/D$3</f>
        <v>327.62553721925661</v>
      </c>
      <c r="E178" s="64">
        <f t="shared" ref="E178" si="619">E83/1000000*$J$3/E$3</f>
        <v>327.35732329983699</v>
      </c>
      <c r="F178" s="64">
        <f t="shared" ref="F178" si="620">F83/1000000*$J$3/F$3</f>
        <v>303.33095720609936</v>
      </c>
      <c r="G178" s="64">
        <f t="shared" ref="G178" si="621">G83/1000000*$J$3/G$3</f>
        <v>309.61341859321197</v>
      </c>
      <c r="H178" s="64">
        <f t="shared" ref="H178" si="622">H83/1000000*$J$3/H$3</f>
        <v>309.0977137235613</v>
      </c>
      <c r="I178" s="64">
        <f t="shared" ref="I178" si="623">I83/1000000*$J$3/I$3</f>
        <v>287.713301</v>
      </c>
      <c r="J178" s="64">
        <f t="shared" ref="J178:Y178" si="624">J83/1000000*$J$3/J$3</f>
        <v>300.61536000000001</v>
      </c>
      <c r="K178" s="64">
        <f t="shared" si="624"/>
        <v>284.12987895612321</v>
      </c>
      <c r="L178" s="64">
        <f t="shared" si="624"/>
        <v>269.6835957818721</v>
      </c>
      <c r="M178" s="64">
        <f t="shared" si="624"/>
        <v>247.65976822120427</v>
      </c>
      <c r="N178" s="64">
        <f t="shared" si="624"/>
        <v>221.37904346167269</v>
      </c>
      <c r="O178" s="64">
        <f t="shared" si="624"/>
        <v>226.36538415251448</v>
      </c>
      <c r="P178" s="64">
        <f t="shared" si="624"/>
        <v>217.93320396071894</v>
      </c>
      <c r="Q178" s="64">
        <f t="shared" si="624"/>
        <v>212.83901265502246</v>
      </c>
      <c r="R178" s="64">
        <f t="shared" si="624"/>
        <v>195.63524762228346</v>
      </c>
      <c r="S178" s="64">
        <f t="shared" si="624"/>
        <v>210.45035489276327</v>
      </c>
      <c r="T178" s="64">
        <f t="shared" si="624"/>
        <v>183.73098531970973</v>
      </c>
      <c r="U178" s="64">
        <f t="shared" si="624"/>
        <v>183.47728644029351</v>
      </c>
      <c r="V178" s="64">
        <f t="shared" si="624"/>
        <v>154.77341710095331</v>
      </c>
      <c r="W178" s="64">
        <f t="shared" si="624"/>
        <v>161.18062135842558</v>
      </c>
      <c r="X178" s="64">
        <f t="shared" si="624"/>
        <v>145.774325463796</v>
      </c>
      <c r="Y178" s="64">
        <f t="shared" si="624"/>
        <v>137.12587349916669</v>
      </c>
    </row>
    <row r="179" spans="1:25">
      <c r="C179" s="64"/>
      <c r="D179" s="64"/>
      <c r="E179" s="64"/>
      <c r="F179" s="64"/>
      <c r="G179" s="64"/>
      <c r="H179" s="64"/>
      <c r="I179" s="64"/>
      <c r="J179" s="64"/>
      <c r="K179" s="64"/>
      <c r="L179" s="64"/>
      <c r="M179" s="64"/>
      <c r="N179" s="64"/>
      <c r="O179" s="64"/>
      <c r="P179" s="64"/>
      <c r="Q179" s="64"/>
      <c r="R179" s="64"/>
      <c r="S179" s="64"/>
      <c r="T179" s="64"/>
      <c r="U179" s="64"/>
      <c r="V179" s="64"/>
      <c r="W179" s="64"/>
      <c r="X179" s="64"/>
      <c r="Y179" s="64"/>
    </row>
    <row r="180" spans="1:25">
      <c r="A180" t="str">
        <f>A84</f>
        <v>Total General Fund Direct Expenditures</v>
      </c>
      <c r="C180" s="64">
        <f t="shared" ref="C180" si="625">C84/1000000*$J$3/C$3</f>
        <v>1416.1229947570032</v>
      </c>
      <c r="D180" s="64">
        <f t="shared" ref="D180" si="626">D84/1000000*$J$3/D$3</f>
        <v>1364.5738797301485</v>
      </c>
      <c r="E180" s="64">
        <f t="shared" ref="E180" si="627">E84/1000000*$J$3/E$3</f>
        <v>1359.5089619410567</v>
      </c>
      <c r="F180" s="64">
        <f t="shared" ref="F180" si="628">F84/1000000*$J$3/F$3</f>
        <v>1318.2399222823412</v>
      </c>
      <c r="G180" s="64">
        <f t="shared" ref="G180" si="629">G84/1000000*$J$3/G$3</f>
        <v>1380.0513920314806</v>
      </c>
      <c r="H180" s="64">
        <f t="shared" ref="H180" si="630">H84/1000000*$J$3/H$3</f>
        <v>1343.222167240531</v>
      </c>
      <c r="I180" s="64">
        <f t="shared" ref="I180" si="631">I84/1000000*$J$3/I$3</f>
        <v>1292.40759</v>
      </c>
      <c r="J180" s="64">
        <f t="shared" ref="J180:Y180" si="632">J84/1000000*$J$3/J$3</f>
        <v>1360.468535</v>
      </c>
      <c r="K180" s="64">
        <f t="shared" si="632"/>
        <v>1289.9139780321921</v>
      </c>
      <c r="L180" s="64">
        <f t="shared" si="632"/>
        <v>1280.9205503410819</v>
      </c>
      <c r="M180" s="64">
        <f t="shared" si="632"/>
        <v>1250.6477510754553</v>
      </c>
      <c r="N180" s="64">
        <f t="shared" si="632"/>
        <v>1260.9322026004627</v>
      </c>
      <c r="O180" s="64">
        <f t="shared" si="632"/>
        <v>1334.0844124423813</v>
      </c>
      <c r="P180" s="64">
        <f t="shared" si="632"/>
        <v>1320.5272111846359</v>
      </c>
      <c r="Q180" s="64">
        <f t="shared" si="632"/>
        <v>1307.224070750214</v>
      </c>
      <c r="R180" s="64">
        <f t="shared" si="632"/>
        <v>1253.1198735654243</v>
      </c>
      <c r="S180" s="64">
        <f t="shared" si="632"/>
        <v>1218.7330096022386</v>
      </c>
      <c r="T180" s="64">
        <f t="shared" si="632"/>
        <v>1169.8541616466589</v>
      </c>
      <c r="U180" s="64">
        <f t="shared" si="632"/>
        <v>1174.1517728973931</v>
      </c>
      <c r="V180" s="64">
        <f t="shared" si="632"/>
        <v>1125.057487920707</v>
      </c>
      <c r="W180" s="64">
        <f t="shared" si="632"/>
        <v>1082.1568784834926</v>
      </c>
      <c r="X180" s="64">
        <f t="shared" si="632"/>
        <v>1047.1972256042432</v>
      </c>
      <c r="Y180" s="64">
        <f t="shared" si="632"/>
        <v>985.94658919470999</v>
      </c>
    </row>
    <row r="181" spans="1:25">
      <c r="Y181" s="64"/>
    </row>
    <row r="182" spans="1:25">
      <c r="A182" s="2" t="s">
        <v>651</v>
      </c>
      <c r="Y182" s="64"/>
    </row>
    <row r="183" spans="1:25">
      <c r="A183" t="str">
        <f t="shared" ref="A183:A246" si="633">A95</f>
        <v>01 Board of Supervisors</v>
      </c>
      <c r="C183" s="1">
        <f>C95/D95-1</f>
        <v>3.617251302702118E-2</v>
      </c>
      <c r="D183" s="1">
        <f>D95/E95-1</f>
        <v>2.0938278064775773E-2</v>
      </c>
      <c r="Y183" s="64"/>
    </row>
    <row r="184" spans="1:25">
      <c r="A184" t="str">
        <f t="shared" si="633"/>
        <v>02 Office of the County Executive</v>
      </c>
      <c r="C184" s="1">
        <f t="shared" ref="C184:D246" si="634">C96/D96-1</f>
        <v>1.5866132310171199E-2</v>
      </c>
      <c r="D184" s="1">
        <f t="shared" si="634"/>
        <v>2.369882984540217E-3</v>
      </c>
      <c r="Y184" s="64"/>
    </row>
    <row r="185" spans="1:25">
      <c r="A185" t="str">
        <f t="shared" si="633"/>
        <v>04 Department of Cable and Consumer Services</v>
      </c>
      <c r="C185" s="1"/>
      <c r="D185" s="1"/>
      <c r="Y185" s="64"/>
    </row>
    <row r="186" spans="1:25">
      <c r="A186" t="str">
        <f t="shared" si="633"/>
        <v>06 Department of Finance</v>
      </c>
      <c r="C186" s="1">
        <f t="shared" si="634"/>
        <v>1.4976292434797589E-2</v>
      </c>
      <c r="D186" s="1">
        <f t="shared" si="634"/>
        <v>1.2355332783937634E-3</v>
      </c>
      <c r="Y186" s="64"/>
    </row>
    <row r="187" spans="1:25">
      <c r="A187" t="str">
        <f t="shared" si="633"/>
        <v>11 Department of Human Resources</v>
      </c>
      <c r="C187" s="1">
        <f t="shared" si="634"/>
        <v>1.3153318610072073E-2</v>
      </c>
      <c r="D187" s="1">
        <f t="shared" si="634"/>
        <v>2.1399507490373892E-3</v>
      </c>
      <c r="Y187" s="64"/>
    </row>
    <row r="188" spans="1:25">
      <c r="A188" t="str">
        <f t="shared" si="633"/>
        <v>12 Department of Purchasing and Supply Management</v>
      </c>
      <c r="C188" s="1">
        <f t="shared" si="634"/>
        <v>1.0611303446185438E-2</v>
      </c>
      <c r="D188" s="1">
        <f t="shared" si="634"/>
        <v>1.8424096820139901E-3</v>
      </c>
      <c r="Y188" s="64"/>
    </row>
    <row r="189" spans="1:25">
      <c r="A189" t="str">
        <f t="shared" si="633"/>
        <v>13 Office of Public Affairs</v>
      </c>
      <c r="C189" s="1">
        <f t="shared" si="634"/>
        <v>2.7036289892468313E-2</v>
      </c>
      <c r="D189" s="1">
        <f t="shared" si="634"/>
        <v>2.9840149069866317E-3</v>
      </c>
      <c r="Y189" s="64"/>
    </row>
    <row r="190" spans="1:25">
      <c r="A190" t="str">
        <f t="shared" si="633"/>
        <v>15 Office of Elections</v>
      </c>
      <c r="C190" s="1">
        <f t="shared" si="634"/>
        <v>0.25189353388818825</v>
      </c>
      <c r="D190" s="1">
        <f t="shared" si="634"/>
        <v>1.945818242536701E-3</v>
      </c>
      <c r="E190" t="s">
        <v>652</v>
      </c>
      <c r="Y190" s="64"/>
    </row>
    <row r="191" spans="1:25">
      <c r="A191" t="str">
        <f t="shared" si="633"/>
        <v>17 Office of the County Attorney</v>
      </c>
      <c r="C191" s="1">
        <f t="shared" si="634"/>
        <v>6.3575926716087139E-2</v>
      </c>
      <c r="D191" s="1">
        <f t="shared" si="634"/>
        <v>2.5480794140717578E-3</v>
      </c>
      <c r="E191" t="s">
        <v>653</v>
      </c>
      <c r="Y191" s="64"/>
    </row>
    <row r="192" spans="1:25">
      <c r="A192" t="str">
        <f t="shared" si="633"/>
        <v>20 Department of Management and Budget</v>
      </c>
      <c r="C192" s="1">
        <f t="shared" si="634"/>
        <v>-1.2341714676108118E-2</v>
      </c>
      <c r="D192" s="1">
        <f t="shared" si="634"/>
        <v>2.500890572344483E-3</v>
      </c>
      <c r="Y192" s="64"/>
    </row>
    <row r="193" spans="1:25">
      <c r="A193" t="str">
        <f t="shared" si="633"/>
        <v>37 Office of the Financial and Program Auditor</v>
      </c>
      <c r="C193" s="1">
        <f t="shared" si="634"/>
        <v>1.8483805262060615E-2</v>
      </c>
      <c r="D193" s="1">
        <f t="shared" si="634"/>
        <v>2.3071726647707624E-3</v>
      </c>
      <c r="Y193" s="64"/>
    </row>
    <row r="194" spans="1:25">
      <c r="A194" t="str">
        <f t="shared" si="633"/>
        <v>41 Civil Service Commission</v>
      </c>
      <c r="C194" s="1">
        <f t="shared" si="634"/>
        <v>1.5169451727781391E-2</v>
      </c>
      <c r="D194" s="1">
        <f t="shared" si="634"/>
        <v>2.1229439089727187E-3</v>
      </c>
      <c r="Y194" s="64"/>
    </row>
    <row r="195" spans="1:25">
      <c r="A195" t="str">
        <f t="shared" si="633"/>
        <v>57 Department of Tax Administration</v>
      </c>
      <c r="C195" s="1">
        <f t="shared" si="634"/>
        <v>1.4836725710115406E-2</v>
      </c>
      <c r="D195" s="1">
        <f t="shared" si="634"/>
        <v>1.9112465088055863E-3</v>
      </c>
      <c r="Y195" s="64"/>
    </row>
    <row r="196" spans="1:25">
      <c r="A196" t="str">
        <f t="shared" si="633"/>
        <v>70 Department of Information Technology</v>
      </c>
      <c r="C196" s="1">
        <f t="shared" si="634"/>
        <v>3.2310453904584646E-2</v>
      </c>
      <c r="D196" s="1">
        <f t="shared" si="634"/>
        <v>2.5393302039566912E-3</v>
      </c>
      <c r="Y196" s="64"/>
    </row>
    <row r="197" spans="1:25">
      <c r="A197" t="str">
        <f t="shared" si="633"/>
        <v>88 Contributory Agencies</v>
      </c>
      <c r="C197" s="1"/>
      <c r="D197" s="1"/>
      <c r="Y197" s="64"/>
    </row>
    <row r="198" spans="1:25">
      <c r="A198" t="str">
        <f t="shared" si="633"/>
        <v>Total Legislative-Executive Functions / Central Services</v>
      </c>
      <c r="C198" s="1">
        <f t="shared" si="634"/>
        <v>2.2868252522247445E-2</v>
      </c>
      <c r="D198" s="1">
        <f t="shared" si="634"/>
        <v>3.1585614142144447E-3</v>
      </c>
      <c r="Y198" s="64"/>
    </row>
    <row r="199" spans="1:25">
      <c r="C199" s="1"/>
      <c r="D199" s="1"/>
      <c r="Y199" s="64"/>
    </row>
    <row r="200" spans="1:25">
      <c r="A200" t="str">
        <f t="shared" si="633"/>
        <v>Judicial Administration</v>
      </c>
      <c r="C200" s="1"/>
      <c r="D200" s="1"/>
      <c r="Y200" s="64"/>
    </row>
    <row r="201" spans="1:25">
      <c r="A201" t="str">
        <f t="shared" si="633"/>
        <v>80 Circuit Court and Records</v>
      </c>
      <c r="C201" s="1">
        <f t="shared" si="634"/>
        <v>1.747827289338999E-2</v>
      </c>
      <c r="D201" s="1">
        <f t="shared" si="634"/>
        <v>2.0784701778966408E-3</v>
      </c>
      <c r="Y201" s="64"/>
    </row>
    <row r="202" spans="1:25">
      <c r="A202" t="str">
        <f t="shared" si="633"/>
        <v>82 Office of the Commonwealth's Attorney</v>
      </c>
      <c r="C202" s="1">
        <f t="shared" si="634"/>
        <v>2.3912646343965838E-2</v>
      </c>
      <c r="D202" s="1">
        <f t="shared" si="634"/>
        <v>2.3885296658887611E-3</v>
      </c>
      <c r="E202" t="s">
        <v>654</v>
      </c>
      <c r="Y202" s="64"/>
    </row>
    <row r="203" spans="1:25">
      <c r="A203" t="str">
        <f t="shared" si="633"/>
        <v>85 General District Court</v>
      </c>
      <c r="C203" s="1">
        <f t="shared" si="634"/>
        <v>1.1362682257103129E-2</v>
      </c>
      <c r="D203" s="1">
        <f t="shared" si="634"/>
        <v>6.9921770111985859E-2</v>
      </c>
      <c r="Y203" s="64"/>
    </row>
    <row r="204" spans="1:25">
      <c r="A204" t="str">
        <f t="shared" si="633"/>
        <v>91 Office of the Sheriff</v>
      </c>
      <c r="C204" s="1">
        <f t="shared" si="634"/>
        <v>1.3873476739729051E-2</v>
      </c>
      <c r="D204" s="1">
        <f t="shared" si="634"/>
        <v>1.9594769681388069E-3</v>
      </c>
      <c r="Y204" s="64"/>
    </row>
    <row r="205" spans="1:25">
      <c r="A205" t="str">
        <f t="shared" si="633"/>
        <v>Total Judicial Administration</v>
      </c>
      <c r="C205" s="1">
        <f t="shared" si="634"/>
        <v>1.5857234582016488E-2</v>
      </c>
      <c r="D205" s="1">
        <f t="shared" si="634"/>
        <v>6.3088222341596278E-3</v>
      </c>
      <c r="Y205" s="64"/>
    </row>
    <row r="206" spans="1:25">
      <c r="C206" s="1"/>
      <c r="D206" s="1"/>
    </row>
    <row r="207" spans="1:25">
      <c r="A207" t="str">
        <f t="shared" si="633"/>
        <v>Public Safety</v>
      </c>
      <c r="C207" s="1"/>
      <c r="D207" s="1"/>
    </row>
    <row r="208" spans="1:25">
      <c r="A208" t="str">
        <f t="shared" si="633"/>
        <v>04 Department of Cable and Consumer Services</v>
      </c>
      <c r="C208" s="1">
        <f t="shared" si="634"/>
        <v>0.14627376753748655</v>
      </c>
      <c r="D208" s="1">
        <f t="shared" si="634"/>
        <v>2.0423277082013414E-3</v>
      </c>
      <c r="E208" t="s">
        <v>655</v>
      </c>
    </row>
    <row r="209" spans="1:5">
      <c r="A209" t="str">
        <f t="shared" si="633"/>
        <v>31 Land Development Services</v>
      </c>
      <c r="C209" s="1">
        <f t="shared" si="634"/>
        <v>1.4471637171461937E-2</v>
      </c>
      <c r="D209" s="1">
        <f t="shared" si="634"/>
        <v>2.1099879307422409E-3</v>
      </c>
    </row>
    <row r="210" spans="1:5">
      <c r="A210" t="str">
        <f t="shared" si="633"/>
        <v>32 Office of Building Code Services</v>
      </c>
      <c r="C210" s="1"/>
      <c r="D210" s="1"/>
    </row>
    <row r="211" spans="1:5">
      <c r="A211" t="str">
        <f t="shared" si="633"/>
        <v>81 Juvenile and Domestic Relations District Court</v>
      </c>
      <c r="C211" s="1">
        <f t="shared" si="634"/>
        <v>-9.1892827509991726E-3</v>
      </c>
      <c r="D211" s="1">
        <f t="shared" si="634"/>
        <v>2.2133319621275849E-3</v>
      </c>
    </row>
    <row r="212" spans="1:5">
      <c r="A212" t="str">
        <f t="shared" si="633"/>
        <v>88 Contributory Agencies</v>
      </c>
      <c r="C212" s="1"/>
      <c r="D212" s="1"/>
    </row>
    <row r="213" spans="1:5">
      <c r="A213" t="str">
        <f t="shared" si="633"/>
        <v>90 Police Department</v>
      </c>
      <c r="C213" s="1">
        <f t="shared" si="634"/>
        <v>3.6431339579684918E-2</v>
      </c>
      <c r="D213" s="1">
        <f t="shared" si="634"/>
        <v>2.0920453505739456E-3</v>
      </c>
      <c r="E213" t="s">
        <v>656</v>
      </c>
    </row>
    <row r="214" spans="1:5">
      <c r="A214" t="str">
        <f t="shared" si="633"/>
        <v>91 Office of the Sheriff</v>
      </c>
      <c r="C214" s="1">
        <f t="shared" si="634"/>
        <v>1.6646757384888078E-2</v>
      </c>
      <c r="D214" s="1">
        <f t="shared" si="634"/>
        <v>2.2261867237705069E-3</v>
      </c>
    </row>
    <row r="215" spans="1:5">
      <c r="A215" t="str">
        <f t="shared" si="633"/>
        <v>92 Fire and Rescue Department</v>
      </c>
      <c r="C215" s="1">
        <f t="shared" si="634"/>
        <v>4.1177676996707602E-2</v>
      </c>
      <c r="D215" s="1">
        <f t="shared" si="634"/>
        <v>1.8531970058743852E-3</v>
      </c>
      <c r="E215" t="s">
        <v>656</v>
      </c>
    </row>
    <row r="216" spans="1:5">
      <c r="A216" t="str">
        <f t="shared" si="633"/>
        <v>93 Office of Emergency Management</v>
      </c>
      <c r="C216" s="1">
        <f t="shared" si="634"/>
        <v>9.3785530233094772E-3</v>
      </c>
      <c r="D216" s="1">
        <f t="shared" si="634"/>
        <v>1.818505116795599E-3</v>
      </c>
    </row>
    <row r="217" spans="1:5">
      <c r="A217" t="str">
        <f t="shared" si="633"/>
        <v>96 Animal Shelter</v>
      </c>
      <c r="C217" s="1"/>
      <c r="D217" s="1"/>
    </row>
    <row r="218" spans="1:5">
      <c r="A218" t="str">
        <f t="shared" si="633"/>
        <v>97 Department of Code Compliance</v>
      </c>
      <c r="C218" s="1">
        <f t="shared" si="634"/>
        <v>1.6788519038293703E-2</v>
      </c>
      <c r="D218" s="1">
        <f t="shared" si="634"/>
        <v>3.1547926975718843E-2</v>
      </c>
    </row>
    <row r="219" spans="1:5">
      <c r="A219" t="str">
        <f t="shared" si="633"/>
        <v>Total Public Safety</v>
      </c>
      <c r="C219" s="1">
        <f t="shared" si="634"/>
        <v>3.3484613463467872E-2</v>
      </c>
      <c r="D219" s="1">
        <f t="shared" si="634"/>
        <v>2.279278849808053E-3</v>
      </c>
    </row>
    <row r="220" spans="1:5">
      <c r="C220" s="1"/>
      <c r="D220" s="1"/>
    </row>
    <row r="221" spans="1:5">
      <c r="A221" t="str">
        <f t="shared" si="633"/>
        <v>Public Works</v>
      </c>
      <c r="C221" s="1"/>
      <c r="D221" s="1"/>
    </row>
    <row r="222" spans="1:5">
      <c r="A222" t="str">
        <f t="shared" si="633"/>
        <v>08 Facilities Management Department</v>
      </c>
      <c r="C222" s="1">
        <f t="shared" si="634"/>
        <v>4.2213016545436632E-2</v>
      </c>
      <c r="D222" s="1">
        <f t="shared" si="634"/>
        <v>-3.2170372355833088E-4</v>
      </c>
    </row>
    <row r="223" spans="1:5">
      <c r="A223" t="str">
        <f t="shared" si="633"/>
        <v>22 Project Engineering Division</v>
      </c>
      <c r="C223" s="1"/>
      <c r="D223" s="1"/>
    </row>
    <row r="224" spans="1:5">
      <c r="A224" t="str">
        <f t="shared" si="633"/>
        <v>25 Business Planning and Support</v>
      </c>
      <c r="C224" s="1">
        <f t="shared" si="634"/>
        <v>3.3921100050183783E-2</v>
      </c>
      <c r="D224" s="1">
        <f t="shared" si="634"/>
        <v>3.2664725924225202E-3</v>
      </c>
    </row>
    <row r="225" spans="1:5">
      <c r="A225" t="str">
        <f t="shared" si="633"/>
        <v>26 Office of Capital Facilities</v>
      </c>
      <c r="C225" s="1">
        <f t="shared" si="634"/>
        <v>3.1092945113949222E-2</v>
      </c>
      <c r="D225" s="1">
        <f t="shared" si="634"/>
        <v>2.1645747649923219E-3</v>
      </c>
    </row>
    <row r="226" spans="1:5">
      <c r="A226" t="str">
        <f t="shared" si="633"/>
        <v>28 Utilities Planning and Design Division</v>
      </c>
      <c r="C226" s="1"/>
      <c r="D226" s="1"/>
    </row>
    <row r="227" spans="1:5">
      <c r="A227" t="str">
        <f t="shared" si="633"/>
        <v xml:space="preserve">29 Stormwater Management </v>
      </c>
      <c r="C227" s="1"/>
      <c r="D227" s="1"/>
      <c r="E227" t="s">
        <v>657</v>
      </c>
    </row>
    <row r="228" spans="1:5">
      <c r="A228" t="str">
        <f t="shared" si="633"/>
        <v>33 Land Acquisition Division</v>
      </c>
      <c r="C228" s="1"/>
      <c r="D228" s="1"/>
    </row>
    <row r="229" spans="1:5">
      <c r="A229" t="str">
        <f t="shared" si="633"/>
        <v>87 Unclassified Administrative Expenses</v>
      </c>
      <c r="C229" s="1">
        <f t="shared" si="634"/>
        <v>7.0087855368910601E-2</v>
      </c>
      <c r="D229" s="1">
        <f t="shared" si="634"/>
        <v>0</v>
      </c>
    </row>
    <row r="230" spans="1:5">
      <c r="A230" t="str">
        <f t="shared" si="633"/>
        <v>Total Public Works</v>
      </c>
      <c r="C230" s="1">
        <f t="shared" si="634"/>
        <v>4.1313489649513757E-2</v>
      </c>
      <c r="D230" s="1">
        <f t="shared" si="634"/>
        <v>2.1333674290024973E-4</v>
      </c>
      <c r="E230" t="s">
        <v>658</v>
      </c>
    </row>
    <row r="231" spans="1:5">
      <c r="C231" s="1"/>
      <c r="D231" s="1"/>
    </row>
    <row r="232" spans="1:5">
      <c r="A232" t="str">
        <f t="shared" si="633"/>
        <v>Health and Welfare</v>
      </c>
      <c r="C232" s="1"/>
      <c r="D232" s="1"/>
    </row>
    <row r="233" spans="1:5">
      <c r="A233" t="str">
        <f t="shared" si="633"/>
        <v>05 Office for Women</v>
      </c>
      <c r="C233" s="1"/>
      <c r="D233" s="1"/>
    </row>
    <row r="234" spans="1:5">
      <c r="A234" t="str">
        <f t="shared" si="633"/>
        <v>67 Department of Family Services</v>
      </c>
      <c r="C234" s="1">
        <f t="shared" si="634"/>
        <v>1.6860870039492104E-2</v>
      </c>
      <c r="D234" s="1">
        <f t="shared" si="634"/>
        <v>1.4368360312281059E-2</v>
      </c>
    </row>
    <row r="235" spans="1:5">
      <c r="A235" t="str">
        <f t="shared" si="633"/>
        <v>68 Department of Administration for Human Services</v>
      </c>
      <c r="C235" s="1">
        <f t="shared" si="634"/>
        <v>2.7754313171505229E-2</v>
      </c>
      <c r="D235" s="1">
        <f t="shared" si="634"/>
        <v>2.2452713300968874E-3</v>
      </c>
    </row>
    <row r="236" spans="1:5">
      <c r="A236" t="str">
        <f t="shared" si="633"/>
        <v xml:space="preserve">69 Department of Systems Management for Human Services </v>
      </c>
      <c r="C236" s="1"/>
      <c r="D236" s="1"/>
    </row>
    <row r="237" spans="1:5">
      <c r="A237" t="str">
        <f t="shared" si="633"/>
        <v>71 Health Department</v>
      </c>
      <c r="C237" s="1">
        <f t="shared" si="634"/>
        <v>5.1657852729921627E-2</v>
      </c>
      <c r="D237" s="1">
        <f t="shared" si="634"/>
        <v>7.2329723170989624E-3</v>
      </c>
    </row>
    <row r="238" spans="1:5">
      <c r="A238" t="str">
        <f t="shared" si="633"/>
        <v>73 Office to Prevent and End Homelessness</v>
      </c>
      <c r="C238" s="1">
        <f t="shared" si="634"/>
        <v>5.7739098125693111E-2</v>
      </c>
      <c r="D238" s="1">
        <f t="shared" si="634"/>
        <v>1.7092997604351012E-4</v>
      </c>
    </row>
    <row r="239" spans="1:5">
      <c r="A239" t="str">
        <f t="shared" si="633"/>
        <v>79 Department of Neighborhood and Community Services</v>
      </c>
      <c r="C239" s="1">
        <f t="shared" si="634"/>
        <v>4.1185155963203268E-2</v>
      </c>
      <c r="D239" s="1">
        <f t="shared" si="634"/>
        <v>-1.2940028597875353E-3</v>
      </c>
    </row>
    <row r="240" spans="1:5">
      <c r="A240" t="str">
        <f t="shared" si="633"/>
        <v>88 Contributory Agencies</v>
      </c>
      <c r="C240" s="1"/>
      <c r="D240" s="1"/>
    </row>
    <row r="241" spans="1:6">
      <c r="A241" t="str">
        <f t="shared" si="633"/>
        <v>Total Health and Welfare</v>
      </c>
      <c r="C241" s="1">
        <f t="shared" si="634"/>
        <v>2.7512746204423788E-2</v>
      </c>
      <c r="D241" s="1">
        <f t="shared" si="634"/>
        <v>1.0511015331412965E-2</v>
      </c>
      <c r="E241" t="s">
        <v>658</v>
      </c>
    </row>
    <row r="242" spans="1:6">
      <c r="C242" s="1"/>
      <c r="D242" s="1"/>
    </row>
    <row r="243" spans="1:6">
      <c r="A243" t="str">
        <f t="shared" si="633"/>
        <v>Parks and Libraries</v>
      </c>
      <c r="C243" s="1"/>
      <c r="D243" s="1"/>
    </row>
    <row r="244" spans="1:6">
      <c r="A244" t="str">
        <f t="shared" si="633"/>
        <v xml:space="preserve">50 Department of Community and Recreation Services </v>
      </c>
      <c r="C244" s="1"/>
      <c r="D244" s="1"/>
    </row>
    <row r="245" spans="1:6">
      <c r="A245" t="str">
        <f t="shared" si="633"/>
        <v>51 Fairfax County Park Authority</v>
      </c>
      <c r="C245" s="1">
        <f t="shared" si="634"/>
        <v>1.9460461760025582E-2</v>
      </c>
      <c r="D245" s="1">
        <f t="shared" si="634"/>
        <v>3.5297872691830712E-4</v>
      </c>
    </row>
    <row r="246" spans="1:6">
      <c r="A246" t="str">
        <f t="shared" si="633"/>
        <v>52 Fairfax County Public Library</v>
      </c>
      <c r="C246" s="1">
        <f t="shared" si="634"/>
        <v>-1.3428930119842031E-3</v>
      </c>
      <c r="D246" s="1">
        <f t="shared" si="634"/>
        <v>2.0417745501217777E-3</v>
      </c>
    </row>
    <row r="247" spans="1:6">
      <c r="A247" t="str">
        <f t="shared" ref="A247:A268" si="635">A159</f>
        <v>88 Contributory Agencies</v>
      </c>
      <c r="C247" s="1"/>
      <c r="D247" s="1"/>
    </row>
    <row r="248" spans="1:6">
      <c r="A248" t="str">
        <f t="shared" si="635"/>
        <v>Total Parks and Libraries</v>
      </c>
      <c r="C248" s="1">
        <f t="shared" ref="C248:E268" si="636">C160/D160-1</f>
        <v>8.1981385811566998E-3</v>
      </c>
      <c r="D248" s="1">
        <f t="shared" si="636"/>
        <v>1.2665356861760735E-3</v>
      </c>
    </row>
    <row r="249" spans="1:6">
      <c r="C249" s="1"/>
      <c r="D249" s="1"/>
    </row>
    <row r="250" spans="1:6">
      <c r="A250" t="str">
        <f t="shared" si="635"/>
        <v>Community Development</v>
      </c>
      <c r="C250" s="1"/>
      <c r="D250" s="1"/>
    </row>
    <row r="251" spans="1:6">
      <c r="A251" t="str">
        <f t="shared" si="635"/>
        <v>16 Economic Development Authority</v>
      </c>
      <c r="C251" s="1">
        <f t="shared" si="636"/>
        <v>4.359173849759479E-3</v>
      </c>
      <c r="D251" s="1">
        <f t="shared" si="636"/>
        <v>1.19569581702339E-3</v>
      </c>
    </row>
    <row r="252" spans="1:6">
      <c r="A252" t="str">
        <f t="shared" si="635"/>
        <v>30 Environmental Services Administration Division</v>
      </c>
      <c r="C252" s="1"/>
      <c r="D252" s="1"/>
    </row>
    <row r="253" spans="1:6">
      <c r="A253" t="str">
        <f t="shared" si="635"/>
        <v>31 Land Development Services</v>
      </c>
      <c r="C253" s="1">
        <f t="shared" si="636"/>
        <v>1.3103776174023807E-2</v>
      </c>
      <c r="D253" s="1">
        <f t="shared" si="636"/>
        <v>-1.638319426282564E-4</v>
      </c>
    </row>
    <row r="254" spans="1:6">
      <c r="A254" t="str">
        <f t="shared" si="635"/>
        <v>35 Department of Planning and Zoning</v>
      </c>
      <c r="C254" s="1">
        <f t="shared" si="636"/>
        <v>1.8208471997227749E-2</v>
      </c>
      <c r="D254" s="1">
        <f t="shared" si="636"/>
        <v>3.2577895958705305E-3</v>
      </c>
    </row>
    <row r="255" spans="1:6">
      <c r="A255" t="str">
        <f t="shared" si="635"/>
        <v>36 Planning Commission</v>
      </c>
      <c r="C255" s="1">
        <f t="shared" si="636"/>
        <v>7.7169901253639983E-2</v>
      </c>
      <c r="D255" s="1">
        <f t="shared" si="636"/>
        <v>7.0555111690737027E-2</v>
      </c>
      <c r="E255" s="1">
        <f t="shared" si="636"/>
        <v>9.3941444778792293E-2</v>
      </c>
      <c r="F255" s="1" t="s">
        <v>660</v>
      </c>
    </row>
    <row r="256" spans="1:6">
      <c r="A256" t="str">
        <f t="shared" si="635"/>
        <v>38 Department of Housing and Community Development</v>
      </c>
      <c r="C256" s="1">
        <f t="shared" si="636"/>
        <v>7.6170536577928605E-3</v>
      </c>
      <c r="D256" s="1">
        <f t="shared" si="636"/>
        <v>1.9013319093499348E-3</v>
      </c>
    </row>
    <row r="257" spans="1:5">
      <c r="A257" t="str">
        <f t="shared" si="635"/>
        <v>39 Office of Human Rights and Equity Programs</v>
      </c>
      <c r="C257" s="1">
        <f t="shared" si="636"/>
        <v>-1.4500616846718217E-2</v>
      </c>
      <c r="D257" s="1">
        <f t="shared" si="636"/>
        <v>2.4087414848243949E-3</v>
      </c>
    </row>
    <row r="258" spans="1:5">
      <c r="A258" t="str">
        <f t="shared" si="635"/>
        <v>40 Department of Transportation</v>
      </c>
      <c r="C258" s="1">
        <f t="shared" si="636"/>
        <v>2.4433042430483276E-2</v>
      </c>
      <c r="D258" s="1">
        <f t="shared" si="636"/>
        <v>2.8210597258973014E-3</v>
      </c>
    </row>
    <row r="259" spans="1:5">
      <c r="A259" t="str">
        <f t="shared" si="635"/>
        <v>88 Contributory Agencies</v>
      </c>
      <c r="C259" s="1"/>
      <c r="D259" s="1"/>
    </row>
    <row r="260" spans="1:5">
      <c r="A260" t="str">
        <f t="shared" si="635"/>
        <v>Total Community Development</v>
      </c>
      <c r="C260" s="1">
        <f t="shared" si="636"/>
        <v>1.4112149430341114E-2</v>
      </c>
      <c r="D260" s="1">
        <f t="shared" si="636"/>
        <v>2.605632569024241E-3</v>
      </c>
    </row>
    <row r="261" spans="1:5">
      <c r="C261" s="1"/>
      <c r="D261" s="1"/>
    </row>
    <row r="262" spans="1:5">
      <c r="A262" t="str">
        <f t="shared" si="635"/>
        <v>Nondepartmental</v>
      </c>
      <c r="C262" s="1"/>
      <c r="D262" s="1"/>
    </row>
    <row r="263" spans="1:5">
      <c r="A263" t="str">
        <f t="shared" si="635"/>
        <v>87 Unclassified Administrative Expenses</v>
      </c>
      <c r="C263" s="1">
        <f t="shared" si="636"/>
        <v>-7.1881188118811883</v>
      </c>
      <c r="D263" s="1">
        <f t="shared" si="636"/>
        <v>0</v>
      </c>
      <c r="E263" t="s">
        <v>661</v>
      </c>
    </row>
    <row r="264" spans="1:5">
      <c r="A264" t="str">
        <f t="shared" si="635"/>
        <v>88 Contributory Agencies</v>
      </c>
      <c r="C264" s="1"/>
      <c r="D264" s="1"/>
    </row>
    <row r="265" spans="1:5">
      <c r="A265" t="str">
        <f t="shared" si="635"/>
        <v>89 Employee Benefits</v>
      </c>
      <c r="C265" s="1">
        <f t="shared" si="636"/>
        <v>4.1224321500826333E-2</v>
      </c>
      <c r="D265" s="1">
        <f t="shared" si="636"/>
        <v>8.1643429701871995E-4</v>
      </c>
    </row>
    <row r="266" spans="1:5">
      <c r="A266" t="str">
        <f t="shared" si="635"/>
        <v>Total Nondepartmental</v>
      </c>
      <c r="C266" s="1">
        <f t="shared" si="636"/>
        <v>6.6850719841079931E-2</v>
      </c>
      <c r="D266" s="1">
        <f t="shared" si="636"/>
        <v>8.1933074450857291E-4</v>
      </c>
    </row>
    <row r="267" spans="1:5">
      <c r="C267" s="1"/>
      <c r="D267" s="1"/>
    </row>
    <row r="268" spans="1:5">
      <c r="A268" t="str">
        <f t="shared" si="635"/>
        <v>Total General Fund Direct Expenditures</v>
      </c>
      <c r="C268" s="1">
        <f t="shared" si="636"/>
        <v>3.7776712417394887E-2</v>
      </c>
      <c r="D268" s="1">
        <f t="shared" si="636"/>
        <v>3.7255493938490591E-3</v>
      </c>
    </row>
    <row r="269" spans="1:5">
      <c r="C269" s="1"/>
    </row>
    <row r="270" spans="1:5">
      <c r="C270" s="1"/>
    </row>
    <row r="271" spans="1:5">
      <c r="C271" s="1"/>
    </row>
    <row r="272" spans="1:5">
      <c r="C272" s="1"/>
    </row>
    <row r="273" spans="3:3">
      <c r="C273" s="1"/>
    </row>
    <row r="274" spans="3:3">
      <c r="C274" s="1"/>
    </row>
    <row r="275" spans="3:3">
      <c r="C275" s="1"/>
    </row>
    <row r="276" spans="3:3">
      <c r="C276" s="1"/>
    </row>
    <row r="277" spans="3:3">
      <c r="C277" s="1"/>
    </row>
    <row r="278" spans="3:3">
      <c r="C278" s="1"/>
    </row>
    <row r="279" spans="3:3">
      <c r="C279" s="1"/>
    </row>
    <row r="280" spans="3:3">
      <c r="C280" s="1"/>
    </row>
    <row r="281" spans="3:3">
      <c r="C281" s="1"/>
    </row>
  </sheetData>
  <conditionalFormatting sqref="C183:C268">
    <cfRule type="cellIs" dxfId="3" priority="4" operator="greaterThan">
      <formula>0.02</formula>
    </cfRule>
  </conditionalFormatting>
  <conditionalFormatting sqref="D183:D268">
    <cfRule type="cellIs" dxfId="2" priority="3" operator="greaterThan">
      <formula>0.02</formula>
    </cfRule>
  </conditionalFormatting>
  <conditionalFormatting sqref="E255">
    <cfRule type="cellIs" dxfId="1" priority="2" operator="greaterThan">
      <formula>0.02</formula>
    </cfRule>
  </conditionalFormatting>
  <conditionalFormatting sqref="F255">
    <cfRule type="cellIs" dxfId="0" priority="1" operator="greaterThan">
      <formula>0.02</formula>
    </cfRule>
  </conditionalFormatting>
  <pageMargins left="0.7" right="0.7" top="0.75" bottom="0.75" header="0.3" footer="0.3"/>
  <pageSetup scale="1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4"/>
  <dimension ref="A1:H97"/>
  <sheetViews>
    <sheetView workbookViewId="0">
      <selection activeCell="C20" sqref="C20"/>
    </sheetView>
  </sheetViews>
  <sheetFormatPr defaultRowHeight="15"/>
  <cols>
    <col min="3" max="3" width="57.28515625" bestFit="1" customWidth="1"/>
    <col min="8" max="8" width="57.28515625" bestFit="1" customWidth="1"/>
  </cols>
  <sheetData>
    <row r="1" spans="1:8">
      <c r="A1" t="s">
        <v>437</v>
      </c>
    </row>
    <row r="2" spans="1:8">
      <c r="A2" t="s">
        <v>438</v>
      </c>
      <c r="C2" s="9" t="s">
        <v>439</v>
      </c>
      <c r="D2" t="s">
        <v>493</v>
      </c>
    </row>
    <row r="3" spans="1:8">
      <c r="A3" t="s">
        <v>70</v>
      </c>
      <c r="E3" t="s">
        <v>325</v>
      </c>
    </row>
    <row r="4" spans="1:8">
      <c r="A4" t="s">
        <v>71</v>
      </c>
      <c r="B4" t="s">
        <v>72</v>
      </c>
      <c r="E4" t="s">
        <v>72</v>
      </c>
      <c r="F4" t="s">
        <v>326</v>
      </c>
      <c r="G4" t="s">
        <v>71</v>
      </c>
    </row>
    <row r="5" spans="1:8">
      <c r="A5" s="5" t="s">
        <v>448</v>
      </c>
      <c r="B5" s="5" t="s">
        <v>441</v>
      </c>
      <c r="C5" t="s">
        <v>35</v>
      </c>
      <c r="E5" t="s">
        <v>73</v>
      </c>
      <c r="F5">
        <f>VALUE(E5)</f>
        <v>1</v>
      </c>
      <c r="G5" t="s">
        <v>74</v>
      </c>
      <c r="H5" t="s">
        <v>75</v>
      </c>
    </row>
    <row r="6" spans="1:8">
      <c r="A6" s="5" t="s">
        <v>449</v>
      </c>
      <c r="B6" s="5" t="s">
        <v>443</v>
      </c>
      <c r="C6" t="s">
        <v>52</v>
      </c>
      <c r="E6" t="s">
        <v>76</v>
      </c>
      <c r="F6">
        <f t="shared" ref="F6:F10" si="0">VALUE(E6)</f>
        <v>2</v>
      </c>
      <c r="G6" t="s">
        <v>77</v>
      </c>
      <c r="H6" t="s">
        <v>78</v>
      </c>
    </row>
    <row r="7" spans="1:8">
      <c r="A7" s="5" t="s">
        <v>450</v>
      </c>
      <c r="B7" s="5" t="s">
        <v>444</v>
      </c>
      <c r="C7" t="s">
        <v>56</v>
      </c>
      <c r="E7" t="s">
        <v>79</v>
      </c>
      <c r="F7">
        <f t="shared" si="0"/>
        <v>90</v>
      </c>
      <c r="G7" t="s">
        <v>80</v>
      </c>
      <c r="H7" t="s">
        <v>81</v>
      </c>
    </row>
    <row r="8" spans="1:8">
      <c r="A8" t="s">
        <v>74</v>
      </c>
      <c r="B8" t="s">
        <v>73</v>
      </c>
      <c r="C8" t="s">
        <v>75</v>
      </c>
      <c r="E8" t="s">
        <v>85</v>
      </c>
      <c r="F8">
        <f t="shared" si="0"/>
        <v>100</v>
      </c>
      <c r="G8" t="s">
        <v>86</v>
      </c>
      <c r="H8" t="s">
        <v>87</v>
      </c>
    </row>
    <row r="9" spans="1:8">
      <c r="A9" t="s">
        <v>77</v>
      </c>
      <c r="B9" t="s">
        <v>76</v>
      </c>
      <c r="C9" t="s">
        <v>78</v>
      </c>
      <c r="E9" t="s">
        <v>91</v>
      </c>
      <c r="F9">
        <f t="shared" si="0"/>
        <v>102</v>
      </c>
      <c r="G9" t="s">
        <v>92</v>
      </c>
      <c r="H9" t="s">
        <v>93</v>
      </c>
    </row>
    <row r="10" spans="1:8">
      <c r="A10" t="s">
        <v>82</v>
      </c>
      <c r="B10" t="s">
        <v>83</v>
      </c>
      <c r="C10" t="s">
        <v>84</v>
      </c>
      <c r="E10" s="5" t="s">
        <v>441</v>
      </c>
      <c r="F10">
        <f t="shared" si="0"/>
        <v>103</v>
      </c>
      <c r="G10" s="5" t="s">
        <v>448</v>
      </c>
      <c r="H10" t="s">
        <v>35</v>
      </c>
    </row>
    <row r="11" spans="1:8">
      <c r="A11" t="s">
        <v>88</v>
      </c>
      <c r="B11" t="s">
        <v>89</v>
      </c>
      <c r="C11" t="s">
        <v>90</v>
      </c>
      <c r="E11" t="s">
        <v>95</v>
      </c>
      <c r="F11">
        <f t="shared" ref="F11:F42" si="1">VALUE(E11)</f>
        <v>104</v>
      </c>
      <c r="G11" t="s">
        <v>94</v>
      </c>
      <c r="H11" t="s">
        <v>96</v>
      </c>
    </row>
    <row r="12" spans="1:8">
      <c r="A12" t="s">
        <v>94</v>
      </c>
      <c r="B12" t="s">
        <v>95</v>
      </c>
      <c r="C12" t="s">
        <v>96</v>
      </c>
      <c r="E12" t="s">
        <v>97</v>
      </c>
      <c r="F12">
        <f t="shared" si="1"/>
        <v>105</v>
      </c>
      <c r="G12" t="s">
        <v>98</v>
      </c>
      <c r="H12" t="s">
        <v>99</v>
      </c>
    </row>
    <row r="13" spans="1:8">
      <c r="A13" t="s">
        <v>100</v>
      </c>
      <c r="B13" s="5" t="s">
        <v>324</v>
      </c>
      <c r="C13" t="s">
        <v>101</v>
      </c>
      <c r="E13" t="s">
        <v>102</v>
      </c>
      <c r="F13">
        <f t="shared" si="1"/>
        <v>106</v>
      </c>
      <c r="G13" t="s">
        <v>103</v>
      </c>
      <c r="H13" t="s">
        <v>104</v>
      </c>
    </row>
    <row r="14" spans="1:8">
      <c r="A14" s="7" t="s">
        <v>327</v>
      </c>
      <c r="B14" s="5" t="s">
        <v>323</v>
      </c>
      <c r="C14" t="s">
        <v>328</v>
      </c>
      <c r="E14" t="s">
        <v>105</v>
      </c>
      <c r="F14">
        <f t="shared" si="1"/>
        <v>108</v>
      </c>
      <c r="G14" t="s">
        <v>106</v>
      </c>
      <c r="H14" t="s">
        <v>107</v>
      </c>
    </row>
    <row r="15" spans="1:8">
      <c r="A15" t="s">
        <v>111</v>
      </c>
      <c r="B15" t="s">
        <v>112</v>
      </c>
      <c r="C15" t="s">
        <v>113</v>
      </c>
      <c r="E15" t="s">
        <v>108</v>
      </c>
      <c r="F15">
        <f t="shared" si="1"/>
        <v>109</v>
      </c>
      <c r="G15" t="s">
        <v>109</v>
      </c>
      <c r="H15" t="s">
        <v>110</v>
      </c>
    </row>
    <row r="16" spans="1:8">
      <c r="A16" t="s">
        <v>117</v>
      </c>
      <c r="B16" t="s">
        <v>118</v>
      </c>
      <c r="C16" t="s">
        <v>119</v>
      </c>
      <c r="E16" t="s">
        <v>114</v>
      </c>
      <c r="F16">
        <f t="shared" si="1"/>
        <v>110</v>
      </c>
      <c r="G16" t="s">
        <v>115</v>
      </c>
      <c r="H16" t="s">
        <v>116</v>
      </c>
    </row>
    <row r="17" spans="1:8">
      <c r="A17" s="8">
        <v>30010</v>
      </c>
      <c r="B17" s="8">
        <v>311</v>
      </c>
      <c r="C17" t="s">
        <v>440</v>
      </c>
      <c r="E17" t="s">
        <v>120</v>
      </c>
      <c r="F17">
        <f t="shared" si="1"/>
        <v>111</v>
      </c>
      <c r="G17" t="s">
        <v>121</v>
      </c>
      <c r="H17" t="s">
        <v>122</v>
      </c>
    </row>
    <row r="18" spans="1:8">
      <c r="A18" t="s">
        <v>123</v>
      </c>
      <c r="B18" t="s">
        <v>124</v>
      </c>
      <c r="C18" t="s">
        <v>125</v>
      </c>
      <c r="E18" t="s">
        <v>126</v>
      </c>
      <c r="F18">
        <f t="shared" si="1"/>
        <v>112</v>
      </c>
      <c r="G18" t="s">
        <v>127</v>
      </c>
      <c r="H18" t="s">
        <v>128</v>
      </c>
    </row>
    <row r="19" spans="1:8">
      <c r="A19" t="s">
        <v>129</v>
      </c>
      <c r="B19" t="s">
        <v>130</v>
      </c>
      <c r="C19" t="s">
        <v>131</v>
      </c>
      <c r="E19" t="s">
        <v>132</v>
      </c>
      <c r="F19">
        <f t="shared" si="1"/>
        <v>113</v>
      </c>
      <c r="G19" t="s">
        <v>133</v>
      </c>
      <c r="H19" t="s">
        <v>134</v>
      </c>
    </row>
    <row r="20" spans="1:8">
      <c r="A20" t="s">
        <v>135</v>
      </c>
      <c r="B20" t="s">
        <v>136</v>
      </c>
      <c r="C20" t="s">
        <v>137</v>
      </c>
      <c r="E20" t="s">
        <v>138</v>
      </c>
      <c r="F20">
        <f t="shared" si="1"/>
        <v>114</v>
      </c>
      <c r="G20" t="s">
        <v>139</v>
      </c>
      <c r="H20" t="s">
        <v>140</v>
      </c>
    </row>
    <row r="21" spans="1:8">
      <c r="A21" s="5" t="s">
        <v>135</v>
      </c>
      <c r="B21" s="5" t="s">
        <v>442</v>
      </c>
      <c r="C21" t="s">
        <v>49</v>
      </c>
      <c r="E21" t="s">
        <v>144</v>
      </c>
      <c r="F21">
        <f t="shared" si="1"/>
        <v>115</v>
      </c>
      <c r="G21" t="s">
        <v>145</v>
      </c>
      <c r="H21" t="s">
        <v>146</v>
      </c>
    </row>
    <row r="22" spans="1:8">
      <c r="A22" t="s">
        <v>141</v>
      </c>
      <c r="B22" t="s">
        <v>142</v>
      </c>
      <c r="C22" t="s">
        <v>143</v>
      </c>
      <c r="E22" t="s">
        <v>150</v>
      </c>
      <c r="F22">
        <f t="shared" si="1"/>
        <v>116</v>
      </c>
      <c r="G22" t="s">
        <v>151</v>
      </c>
      <c r="H22" t="s">
        <v>152</v>
      </c>
    </row>
    <row r="23" spans="1:8">
      <c r="A23" t="s">
        <v>147</v>
      </c>
      <c r="B23" t="s">
        <v>148</v>
      </c>
      <c r="C23" t="s">
        <v>149</v>
      </c>
      <c r="E23" t="s">
        <v>156</v>
      </c>
      <c r="F23">
        <f t="shared" si="1"/>
        <v>117</v>
      </c>
      <c r="G23" t="s">
        <v>157</v>
      </c>
      <c r="H23" t="s">
        <v>158</v>
      </c>
    </row>
    <row r="24" spans="1:8">
      <c r="A24" t="s">
        <v>153</v>
      </c>
      <c r="B24" t="s">
        <v>154</v>
      </c>
      <c r="C24" t="s">
        <v>155</v>
      </c>
      <c r="E24" t="s">
        <v>83</v>
      </c>
      <c r="F24">
        <f t="shared" si="1"/>
        <v>118</v>
      </c>
      <c r="G24" t="s">
        <v>82</v>
      </c>
      <c r="H24" t="s">
        <v>84</v>
      </c>
    </row>
    <row r="25" spans="1:8">
      <c r="A25" t="s">
        <v>159</v>
      </c>
      <c r="B25" t="s">
        <v>160</v>
      </c>
      <c r="C25" t="s">
        <v>161</v>
      </c>
      <c r="E25" t="s">
        <v>89</v>
      </c>
      <c r="F25">
        <f t="shared" si="1"/>
        <v>119</v>
      </c>
      <c r="G25" t="s">
        <v>88</v>
      </c>
      <c r="H25" t="s">
        <v>90</v>
      </c>
    </row>
    <row r="26" spans="1:8">
      <c r="A26" t="s">
        <v>162</v>
      </c>
      <c r="B26" t="s">
        <v>163</v>
      </c>
      <c r="C26" t="s">
        <v>164</v>
      </c>
      <c r="E26" t="s">
        <v>167</v>
      </c>
      <c r="F26">
        <f t="shared" si="1"/>
        <v>120</v>
      </c>
      <c r="G26" t="s">
        <v>168</v>
      </c>
      <c r="H26" t="s">
        <v>169</v>
      </c>
    </row>
    <row r="27" spans="1:8">
      <c r="A27" t="s">
        <v>165</v>
      </c>
      <c r="B27" t="s">
        <v>166</v>
      </c>
      <c r="C27" t="s">
        <v>59</v>
      </c>
      <c r="E27" t="s">
        <v>173</v>
      </c>
      <c r="F27">
        <f t="shared" si="1"/>
        <v>121</v>
      </c>
      <c r="G27" t="s">
        <v>174</v>
      </c>
      <c r="H27" t="s">
        <v>175</v>
      </c>
    </row>
    <row r="28" spans="1:8">
      <c r="A28" t="s">
        <v>170</v>
      </c>
      <c r="B28" t="s">
        <v>171</v>
      </c>
      <c r="C28" t="s">
        <v>172</v>
      </c>
      <c r="E28" t="s">
        <v>179</v>
      </c>
      <c r="F28">
        <f t="shared" si="1"/>
        <v>122</v>
      </c>
      <c r="G28" t="s">
        <v>180</v>
      </c>
      <c r="H28" t="s">
        <v>181</v>
      </c>
    </row>
    <row r="29" spans="1:8">
      <c r="A29" t="s">
        <v>176</v>
      </c>
      <c r="B29" t="s">
        <v>177</v>
      </c>
      <c r="C29" t="s">
        <v>178</v>
      </c>
      <c r="E29" t="s">
        <v>185</v>
      </c>
      <c r="F29">
        <f t="shared" si="1"/>
        <v>124</v>
      </c>
      <c r="G29" t="s">
        <v>186</v>
      </c>
      <c r="H29" t="s">
        <v>187</v>
      </c>
    </row>
    <row r="30" spans="1:8">
      <c r="A30" t="s">
        <v>86</v>
      </c>
      <c r="B30" t="s">
        <v>85</v>
      </c>
      <c r="C30" t="s">
        <v>87</v>
      </c>
      <c r="E30" t="s">
        <v>188</v>
      </c>
      <c r="F30">
        <f t="shared" si="1"/>
        <v>125</v>
      </c>
      <c r="G30" t="s">
        <v>189</v>
      </c>
      <c r="H30" t="s">
        <v>190</v>
      </c>
    </row>
    <row r="31" spans="1:8">
      <c r="A31" t="s">
        <v>186</v>
      </c>
      <c r="B31" t="s">
        <v>185</v>
      </c>
      <c r="C31" t="s">
        <v>187</v>
      </c>
      <c r="E31" t="s">
        <v>191</v>
      </c>
      <c r="F31">
        <f t="shared" si="1"/>
        <v>141</v>
      </c>
      <c r="G31" t="s">
        <v>192</v>
      </c>
      <c r="H31" t="s">
        <v>193</v>
      </c>
    </row>
    <row r="32" spans="1:8">
      <c r="A32" t="s">
        <v>98</v>
      </c>
      <c r="B32" t="s">
        <v>97</v>
      </c>
      <c r="C32" t="s">
        <v>99</v>
      </c>
      <c r="E32" t="s">
        <v>194</v>
      </c>
      <c r="F32">
        <f t="shared" si="1"/>
        <v>142</v>
      </c>
      <c r="G32" t="s">
        <v>195</v>
      </c>
      <c r="H32" t="s">
        <v>196</v>
      </c>
    </row>
    <row r="33" spans="1:8">
      <c r="A33" t="s">
        <v>103</v>
      </c>
      <c r="B33" t="s">
        <v>102</v>
      </c>
      <c r="C33" t="s">
        <v>104</v>
      </c>
      <c r="E33" t="s">
        <v>197</v>
      </c>
      <c r="F33">
        <f t="shared" si="1"/>
        <v>143</v>
      </c>
      <c r="G33" t="s">
        <v>198</v>
      </c>
      <c r="H33" t="s">
        <v>199</v>
      </c>
    </row>
    <row r="34" spans="1:8">
      <c r="A34" t="s">
        <v>121</v>
      </c>
      <c r="B34" t="s">
        <v>120</v>
      </c>
      <c r="C34" t="s">
        <v>122</v>
      </c>
      <c r="E34" t="s">
        <v>200</v>
      </c>
      <c r="F34">
        <f t="shared" si="1"/>
        <v>144</v>
      </c>
      <c r="G34" t="s">
        <v>201</v>
      </c>
      <c r="H34" t="s">
        <v>45</v>
      </c>
    </row>
    <row r="35" spans="1:8">
      <c r="A35" t="s">
        <v>133</v>
      </c>
      <c r="B35" t="s">
        <v>132</v>
      </c>
      <c r="C35" t="s">
        <v>134</v>
      </c>
      <c r="E35" t="s">
        <v>202</v>
      </c>
      <c r="F35">
        <f t="shared" si="1"/>
        <v>145</v>
      </c>
      <c r="G35" t="s">
        <v>203</v>
      </c>
      <c r="H35" t="s">
        <v>204</v>
      </c>
    </row>
    <row r="36" spans="1:8">
      <c r="A36" t="s">
        <v>145</v>
      </c>
      <c r="B36" t="s">
        <v>144</v>
      </c>
      <c r="C36" t="s">
        <v>146</v>
      </c>
      <c r="E36" t="s">
        <v>205</v>
      </c>
      <c r="F36">
        <f t="shared" si="1"/>
        <v>170</v>
      </c>
      <c r="G36" t="s">
        <v>206</v>
      </c>
      <c r="H36" t="s">
        <v>207</v>
      </c>
    </row>
    <row r="37" spans="1:8">
      <c r="A37" t="s">
        <v>151</v>
      </c>
      <c r="B37" t="s">
        <v>150</v>
      </c>
      <c r="C37" t="s">
        <v>152</v>
      </c>
      <c r="E37" t="s">
        <v>208</v>
      </c>
      <c r="F37">
        <f t="shared" si="1"/>
        <v>191</v>
      </c>
      <c r="G37" t="s">
        <v>209</v>
      </c>
      <c r="H37" t="s">
        <v>210</v>
      </c>
    </row>
    <row r="38" spans="1:8">
      <c r="A38" t="s">
        <v>168</v>
      </c>
      <c r="B38" t="s">
        <v>167</v>
      </c>
      <c r="C38" t="s">
        <v>169</v>
      </c>
      <c r="E38" t="s">
        <v>211</v>
      </c>
      <c r="F38">
        <f t="shared" si="1"/>
        <v>192</v>
      </c>
      <c r="G38" t="s">
        <v>212</v>
      </c>
      <c r="H38" t="s">
        <v>213</v>
      </c>
    </row>
    <row r="39" spans="1:8">
      <c r="A39" t="s">
        <v>189</v>
      </c>
      <c r="B39" t="s">
        <v>188</v>
      </c>
      <c r="C39" t="s">
        <v>190</v>
      </c>
      <c r="E39" t="s">
        <v>216</v>
      </c>
      <c r="F39">
        <f t="shared" si="1"/>
        <v>193</v>
      </c>
      <c r="G39" t="s">
        <v>217</v>
      </c>
      <c r="H39" t="s">
        <v>218</v>
      </c>
    </row>
    <row r="40" spans="1:8">
      <c r="A40" t="s">
        <v>189</v>
      </c>
      <c r="B40" s="5" t="s">
        <v>445</v>
      </c>
      <c r="C40" t="s">
        <v>58</v>
      </c>
      <c r="E40" s="5" t="s">
        <v>324</v>
      </c>
      <c r="F40">
        <f t="shared" si="1"/>
        <v>200</v>
      </c>
      <c r="G40" t="s">
        <v>100</v>
      </c>
      <c r="H40" t="s">
        <v>101</v>
      </c>
    </row>
    <row r="41" spans="1:8">
      <c r="A41" t="s">
        <v>174</v>
      </c>
      <c r="B41" t="s">
        <v>173</v>
      </c>
      <c r="C41" t="s">
        <v>175</v>
      </c>
      <c r="E41" s="5" t="s">
        <v>323</v>
      </c>
      <c r="F41">
        <f t="shared" si="1"/>
        <v>201</v>
      </c>
      <c r="G41" s="5" t="s">
        <v>327</v>
      </c>
      <c r="H41" t="s">
        <v>328</v>
      </c>
    </row>
    <row r="42" spans="1:8">
      <c r="A42" t="s">
        <v>180</v>
      </c>
      <c r="B42" t="s">
        <v>179</v>
      </c>
      <c r="C42" t="s">
        <v>181</v>
      </c>
      <c r="E42" s="5" t="s">
        <v>442</v>
      </c>
      <c r="F42">
        <f t="shared" si="1"/>
        <v>300</v>
      </c>
      <c r="G42" s="5" t="s">
        <v>135</v>
      </c>
      <c r="H42" t="s">
        <v>49</v>
      </c>
    </row>
    <row r="43" spans="1:8">
      <c r="A43" t="s">
        <v>106</v>
      </c>
      <c r="B43" t="s">
        <v>105</v>
      </c>
      <c r="C43" t="s">
        <v>107</v>
      </c>
      <c r="E43" t="s">
        <v>136</v>
      </c>
      <c r="F43">
        <f t="shared" ref="F43:F74" si="2">VALUE(E43)</f>
        <v>301</v>
      </c>
      <c r="G43" t="s">
        <v>135</v>
      </c>
      <c r="H43" t="s">
        <v>137</v>
      </c>
    </row>
    <row r="44" spans="1:8">
      <c r="A44" t="s">
        <v>109</v>
      </c>
      <c r="B44" t="s">
        <v>108</v>
      </c>
      <c r="C44" t="s">
        <v>110</v>
      </c>
      <c r="E44" t="s">
        <v>130</v>
      </c>
      <c r="F44">
        <f t="shared" si="2"/>
        <v>302</v>
      </c>
      <c r="G44" t="s">
        <v>129</v>
      </c>
      <c r="H44" t="s">
        <v>131</v>
      </c>
    </row>
    <row r="45" spans="1:8">
      <c r="A45" t="s">
        <v>115</v>
      </c>
      <c r="B45" t="s">
        <v>114</v>
      </c>
      <c r="C45" t="s">
        <v>116</v>
      </c>
      <c r="E45" t="s">
        <v>118</v>
      </c>
      <c r="F45">
        <f t="shared" si="2"/>
        <v>303</v>
      </c>
      <c r="G45" t="s">
        <v>117</v>
      </c>
      <c r="H45" t="s">
        <v>119</v>
      </c>
    </row>
    <row r="46" spans="1:8">
      <c r="A46" t="s">
        <v>127</v>
      </c>
      <c r="B46" t="s">
        <v>126</v>
      </c>
      <c r="C46" t="s">
        <v>128</v>
      </c>
      <c r="E46" t="s">
        <v>142</v>
      </c>
      <c r="F46">
        <f t="shared" si="2"/>
        <v>304</v>
      </c>
      <c r="G46" t="s">
        <v>141</v>
      </c>
      <c r="H46" t="s">
        <v>143</v>
      </c>
    </row>
    <row r="47" spans="1:8">
      <c r="A47" t="s">
        <v>139</v>
      </c>
      <c r="B47" t="s">
        <v>138</v>
      </c>
      <c r="C47" t="s">
        <v>140</v>
      </c>
      <c r="E47" t="s">
        <v>148</v>
      </c>
      <c r="F47">
        <f t="shared" si="2"/>
        <v>307</v>
      </c>
      <c r="G47" t="s">
        <v>147</v>
      </c>
      <c r="H47" t="s">
        <v>149</v>
      </c>
    </row>
    <row r="48" spans="1:8">
      <c r="A48" t="s">
        <v>214</v>
      </c>
      <c r="B48" s="8">
        <v>980</v>
      </c>
      <c r="C48" t="s">
        <v>215</v>
      </c>
      <c r="E48" s="5" t="s">
        <v>443</v>
      </c>
      <c r="F48">
        <f t="shared" si="2"/>
        <v>308</v>
      </c>
      <c r="G48" s="5" t="s">
        <v>449</v>
      </c>
      <c r="H48" t="s">
        <v>52</v>
      </c>
    </row>
    <row r="49" spans="1:8">
      <c r="A49" t="s">
        <v>201</v>
      </c>
      <c r="B49" t="s">
        <v>200</v>
      </c>
      <c r="C49" t="s">
        <v>45</v>
      </c>
      <c r="E49" s="11" t="s">
        <v>112</v>
      </c>
      <c r="F49">
        <f t="shared" si="2"/>
        <v>309</v>
      </c>
      <c r="G49" t="s">
        <v>111</v>
      </c>
      <c r="H49" t="s">
        <v>113</v>
      </c>
    </row>
    <row r="50" spans="1:8">
      <c r="A50" t="s">
        <v>192</v>
      </c>
      <c r="B50" t="s">
        <v>191</v>
      </c>
      <c r="C50" t="s">
        <v>193</v>
      </c>
      <c r="E50" s="12" t="s">
        <v>373</v>
      </c>
      <c r="F50">
        <f t="shared" si="2"/>
        <v>311</v>
      </c>
      <c r="G50" s="10">
        <v>30010</v>
      </c>
      <c r="H50" t="s">
        <v>440</v>
      </c>
    </row>
    <row r="51" spans="1:8">
      <c r="A51" t="s">
        <v>198</v>
      </c>
      <c r="B51" t="s">
        <v>197</v>
      </c>
      <c r="C51" t="s">
        <v>199</v>
      </c>
      <c r="E51" t="s">
        <v>154</v>
      </c>
      <c r="F51">
        <f t="shared" si="2"/>
        <v>312</v>
      </c>
      <c r="G51" t="s">
        <v>153</v>
      </c>
      <c r="H51" t="s">
        <v>155</v>
      </c>
    </row>
    <row r="52" spans="1:8">
      <c r="A52" t="s">
        <v>92</v>
      </c>
      <c r="B52" t="s">
        <v>91</v>
      </c>
      <c r="C52" t="s">
        <v>93</v>
      </c>
      <c r="E52" s="5" t="s">
        <v>444</v>
      </c>
      <c r="F52">
        <f t="shared" si="2"/>
        <v>313</v>
      </c>
      <c r="G52" s="5" t="s">
        <v>450</v>
      </c>
      <c r="H52" t="s">
        <v>56</v>
      </c>
    </row>
    <row r="53" spans="1:8">
      <c r="A53" t="s">
        <v>195</v>
      </c>
      <c r="B53" t="s">
        <v>194</v>
      </c>
      <c r="C53" t="s">
        <v>196</v>
      </c>
      <c r="E53" t="s">
        <v>160</v>
      </c>
      <c r="F53">
        <f t="shared" si="2"/>
        <v>315</v>
      </c>
      <c r="G53" t="s">
        <v>159</v>
      </c>
      <c r="H53" t="s">
        <v>161</v>
      </c>
    </row>
    <row r="54" spans="1:8">
      <c r="A54" t="s">
        <v>203</v>
      </c>
      <c r="B54" t="s">
        <v>202</v>
      </c>
      <c r="C54" t="s">
        <v>204</v>
      </c>
      <c r="E54" t="s">
        <v>163</v>
      </c>
      <c r="F54">
        <f t="shared" si="2"/>
        <v>316</v>
      </c>
      <c r="G54" t="s">
        <v>162</v>
      </c>
      <c r="H54" t="s">
        <v>164</v>
      </c>
    </row>
    <row r="55" spans="1:8">
      <c r="A55" t="s">
        <v>230</v>
      </c>
      <c r="B55" t="s">
        <v>231</v>
      </c>
      <c r="C55" t="s">
        <v>232</v>
      </c>
      <c r="E55" t="s">
        <v>124</v>
      </c>
      <c r="F55">
        <f t="shared" si="2"/>
        <v>317</v>
      </c>
      <c r="G55" t="s">
        <v>123</v>
      </c>
      <c r="H55" t="s">
        <v>125</v>
      </c>
    </row>
    <row r="56" spans="1:8">
      <c r="A56" t="s">
        <v>236</v>
      </c>
      <c r="B56" t="s">
        <v>237</v>
      </c>
      <c r="C56" t="s">
        <v>238</v>
      </c>
      <c r="E56" s="5" t="s">
        <v>445</v>
      </c>
      <c r="F56">
        <f t="shared" si="2"/>
        <v>318</v>
      </c>
      <c r="G56" s="5" t="s">
        <v>189</v>
      </c>
      <c r="H56" t="s">
        <v>58</v>
      </c>
    </row>
    <row r="57" spans="1:8">
      <c r="A57" t="s">
        <v>242</v>
      </c>
      <c r="B57" t="s">
        <v>243</v>
      </c>
      <c r="C57" t="s">
        <v>244</v>
      </c>
      <c r="E57" t="s">
        <v>166</v>
      </c>
      <c r="F57">
        <f t="shared" si="2"/>
        <v>319</v>
      </c>
      <c r="G57" t="s">
        <v>165</v>
      </c>
      <c r="H57" t="s">
        <v>59</v>
      </c>
    </row>
    <row r="58" spans="1:8">
      <c r="A58" t="s">
        <v>248</v>
      </c>
      <c r="B58" t="s">
        <v>249</v>
      </c>
      <c r="C58" t="s">
        <v>250</v>
      </c>
      <c r="E58" t="s">
        <v>171</v>
      </c>
      <c r="F58">
        <f t="shared" si="2"/>
        <v>340</v>
      </c>
      <c r="G58" t="s">
        <v>170</v>
      </c>
      <c r="H58" t="s">
        <v>172</v>
      </c>
    </row>
    <row r="59" spans="1:8">
      <c r="A59" t="s">
        <v>254</v>
      </c>
      <c r="B59" t="s">
        <v>255</v>
      </c>
      <c r="C59" t="s">
        <v>256</v>
      </c>
      <c r="E59" t="s">
        <v>177</v>
      </c>
      <c r="F59">
        <f t="shared" si="2"/>
        <v>370</v>
      </c>
      <c r="G59" t="s">
        <v>176</v>
      </c>
      <c r="H59" t="s">
        <v>178</v>
      </c>
    </row>
    <row r="60" spans="1:8">
      <c r="A60" t="s">
        <v>222</v>
      </c>
      <c r="B60" t="s">
        <v>221</v>
      </c>
      <c r="C60" t="s">
        <v>223</v>
      </c>
      <c r="E60" t="s">
        <v>219</v>
      </c>
      <c r="F60">
        <f t="shared" si="2"/>
        <v>371</v>
      </c>
      <c r="G60" t="s">
        <v>220</v>
      </c>
      <c r="H60" t="s">
        <v>61</v>
      </c>
    </row>
    <row r="61" spans="1:8">
      <c r="A61" t="s">
        <v>225</v>
      </c>
      <c r="B61" t="s">
        <v>224</v>
      </c>
      <c r="C61" t="s">
        <v>226</v>
      </c>
      <c r="E61" t="s">
        <v>183</v>
      </c>
      <c r="F61">
        <f t="shared" si="2"/>
        <v>390</v>
      </c>
      <c r="G61" t="s">
        <v>182</v>
      </c>
      <c r="H61" t="s">
        <v>184</v>
      </c>
    </row>
    <row r="62" spans="1:8">
      <c r="A62" t="s">
        <v>234</v>
      </c>
      <c r="B62" t="s">
        <v>233</v>
      </c>
      <c r="C62" t="s">
        <v>235</v>
      </c>
      <c r="E62" t="s">
        <v>221</v>
      </c>
      <c r="F62">
        <f t="shared" si="2"/>
        <v>400</v>
      </c>
      <c r="G62" t="s">
        <v>222</v>
      </c>
      <c r="H62" t="s">
        <v>223</v>
      </c>
    </row>
    <row r="63" spans="1:8">
      <c r="A63" t="s">
        <v>240</v>
      </c>
      <c r="B63" t="s">
        <v>239</v>
      </c>
      <c r="C63" t="s">
        <v>241</v>
      </c>
      <c r="E63" t="s">
        <v>224</v>
      </c>
      <c r="F63">
        <f t="shared" si="2"/>
        <v>401</v>
      </c>
      <c r="G63" t="s">
        <v>225</v>
      </c>
      <c r="H63" t="s">
        <v>226</v>
      </c>
    </row>
    <row r="64" spans="1:8">
      <c r="A64" t="s">
        <v>246</v>
      </c>
      <c r="B64" t="s">
        <v>245</v>
      </c>
      <c r="C64" t="s">
        <v>247</v>
      </c>
      <c r="E64" t="s">
        <v>227</v>
      </c>
      <c r="F64">
        <f t="shared" si="2"/>
        <v>402</v>
      </c>
      <c r="G64" t="s">
        <v>228</v>
      </c>
      <c r="H64" t="s">
        <v>229</v>
      </c>
    </row>
    <row r="65" spans="1:8">
      <c r="A65" t="s">
        <v>228</v>
      </c>
      <c r="B65" t="s">
        <v>227</v>
      </c>
      <c r="C65" t="s">
        <v>229</v>
      </c>
      <c r="E65" t="s">
        <v>233</v>
      </c>
      <c r="F65">
        <f t="shared" si="2"/>
        <v>403</v>
      </c>
      <c r="G65" t="s">
        <v>234</v>
      </c>
      <c r="H65" t="s">
        <v>235</v>
      </c>
    </row>
    <row r="66" spans="1:8">
      <c r="A66" t="s">
        <v>252</v>
      </c>
      <c r="B66" t="s">
        <v>251</v>
      </c>
      <c r="C66" t="s">
        <v>253</v>
      </c>
      <c r="E66" t="s">
        <v>239</v>
      </c>
      <c r="F66">
        <f t="shared" si="2"/>
        <v>406</v>
      </c>
      <c r="G66" t="s">
        <v>240</v>
      </c>
      <c r="H66" t="s">
        <v>241</v>
      </c>
    </row>
    <row r="67" spans="1:8">
      <c r="A67" t="s">
        <v>285</v>
      </c>
      <c r="B67" t="s">
        <v>284</v>
      </c>
      <c r="C67" t="s">
        <v>286</v>
      </c>
      <c r="E67" t="s">
        <v>245</v>
      </c>
      <c r="F67">
        <f t="shared" si="2"/>
        <v>407</v>
      </c>
      <c r="G67" t="s">
        <v>246</v>
      </c>
      <c r="H67" t="s">
        <v>247</v>
      </c>
    </row>
    <row r="68" spans="1:8">
      <c r="A68" t="s">
        <v>288</v>
      </c>
      <c r="B68" t="s">
        <v>287</v>
      </c>
      <c r="C68" t="s">
        <v>289</v>
      </c>
      <c r="E68" t="s">
        <v>251</v>
      </c>
      <c r="F68">
        <f t="shared" si="2"/>
        <v>408</v>
      </c>
      <c r="G68" t="s">
        <v>252</v>
      </c>
      <c r="H68" t="s">
        <v>253</v>
      </c>
    </row>
    <row r="69" spans="1:8">
      <c r="A69" t="s">
        <v>270</v>
      </c>
      <c r="B69" t="s">
        <v>269</v>
      </c>
      <c r="C69" t="s">
        <v>271</v>
      </c>
      <c r="E69" s="5" t="s">
        <v>446</v>
      </c>
      <c r="F69">
        <f t="shared" si="2"/>
        <v>500</v>
      </c>
      <c r="G69" t="s">
        <v>276</v>
      </c>
      <c r="H69" t="s">
        <v>62</v>
      </c>
    </row>
    <row r="70" spans="1:8">
      <c r="A70" t="s">
        <v>267</v>
      </c>
      <c r="B70" t="s">
        <v>266</v>
      </c>
      <c r="C70" t="s">
        <v>268</v>
      </c>
      <c r="E70" t="s">
        <v>231</v>
      </c>
      <c r="F70">
        <f t="shared" si="2"/>
        <v>501</v>
      </c>
      <c r="G70" t="s">
        <v>230</v>
      </c>
      <c r="H70" t="s">
        <v>232</v>
      </c>
    </row>
    <row r="71" spans="1:8">
      <c r="A71" t="s">
        <v>273</v>
      </c>
      <c r="B71" t="s">
        <v>272</v>
      </c>
      <c r="C71" t="s">
        <v>274</v>
      </c>
      <c r="E71" t="s">
        <v>237</v>
      </c>
      <c r="F71">
        <f t="shared" si="2"/>
        <v>503</v>
      </c>
      <c r="G71" t="s">
        <v>236</v>
      </c>
      <c r="H71" t="s">
        <v>238</v>
      </c>
    </row>
    <row r="72" spans="1:8">
      <c r="A72" t="s">
        <v>276</v>
      </c>
      <c r="B72" t="s">
        <v>275</v>
      </c>
      <c r="C72" t="s">
        <v>277</v>
      </c>
      <c r="E72" t="s">
        <v>243</v>
      </c>
      <c r="F72">
        <f t="shared" si="2"/>
        <v>504</v>
      </c>
      <c r="G72" t="s">
        <v>242</v>
      </c>
      <c r="H72" t="s">
        <v>244</v>
      </c>
    </row>
    <row r="73" spans="1:8">
      <c r="A73" t="s">
        <v>276</v>
      </c>
      <c r="B73" s="5" t="s">
        <v>446</v>
      </c>
      <c r="C73" t="s">
        <v>62</v>
      </c>
      <c r="E73" t="s">
        <v>249</v>
      </c>
      <c r="F73">
        <f t="shared" si="2"/>
        <v>505</v>
      </c>
      <c r="G73" t="s">
        <v>248</v>
      </c>
      <c r="H73" t="s">
        <v>250</v>
      </c>
    </row>
    <row r="74" spans="1:8">
      <c r="A74" t="s">
        <v>206</v>
      </c>
      <c r="B74" t="s">
        <v>205</v>
      </c>
      <c r="C74" t="s">
        <v>207</v>
      </c>
      <c r="E74" t="s">
        <v>255</v>
      </c>
      <c r="F74">
        <f t="shared" si="2"/>
        <v>506</v>
      </c>
      <c r="G74" t="s">
        <v>254</v>
      </c>
      <c r="H74" t="s">
        <v>256</v>
      </c>
    </row>
    <row r="75" spans="1:8">
      <c r="A75" t="s">
        <v>220</v>
      </c>
      <c r="B75" t="s">
        <v>219</v>
      </c>
      <c r="C75" t="s">
        <v>61</v>
      </c>
      <c r="E75" t="s">
        <v>258</v>
      </c>
      <c r="F75">
        <f t="shared" ref="F75:F76" si="3">VALUE(E75)</f>
        <v>590</v>
      </c>
      <c r="G75" t="s">
        <v>257</v>
      </c>
      <c r="H75" t="s">
        <v>259</v>
      </c>
    </row>
    <row r="76" spans="1:8">
      <c r="A76" t="s">
        <v>291</v>
      </c>
      <c r="B76" t="s">
        <v>290</v>
      </c>
      <c r="C76" t="s">
        <v>292</v>
      </c>
      <c r="E76" t="s">
        <v>261</v>
      </c>
      <c r="F76">
        <f t="shared" si="3"/>
        <v>591</v>
      </c>
      <c r="G76" t="s">
        <v>260</v>
      </c>
      <c r="H76" t="s">
        <v>262</v>
      </c>
    </row>
    <row r="77" spans="1:8">
      <c r="A77" t="s">
        <v>297</v>
      </c>
      <c r="B77" t="s">
        <v>296</v>
      </c>
      <c r="C77" t="s">
        <v>298</v>
      </c>
      <c r="E77" t="s">
        <v>264</v>
      </c>
      <c r="F77">
        <f t="shared" ref="F77:F97" si="4">VALUE(E77)</f>
        <v>592</v>
      </c>
      <c r="G77" t="s">
        <v>263</v>
      </c>
      <c r="H77" t="s">
        <v>265</v>
      </c>
    </row>
    <row r="78" spans="1:8">
      <c r="A78" t="s">
        <v>300</v>
      </c>
      <c r="B78" t="s">
        <v>299</v>
      </c>
      <c r="C78" t="s">
        <v>301</v>
      </c>
      <c r="E78" t="s">
        <v>266</v>
      </c>
      <c r="F78">
        <f t="shared" si="4"/>
        <v>600</v>
      </c>
      <c r="G78" t="s">
        <v>267</v>
      </c>
      <c r="H78" t="s">
        <v>268</v>
      </c>
    </row>
    <row r="79" spans="1:8">
      <c r="A79" t="s">
        <v>303</v>
      </c>
      <c r="B79" t="s">
        <v>302</v>
      </c>
      <c r="C79" t="s">
        <v>304</v>
      </c>
      <c r="E79" t="s">
        <v>269</v>
      </c>
      <c r="F79">
        <f t="shared" si="4"/>
        <v>601</v>
      </c>
      <c r="G79" t="s">
        <v>270</v>
      </c>
      <c r="H79" t="s">
        <v>271</v>
      </c>
    </row>
    <row r="80" spans="1:8">
      <c r="A80" t="s">
        <v>306</v>
      </c>
      <c r="B80" t="s">
        <v>305</v>
      </c>
      <c r="C80" t="s">
        <v>307</v>
      </c>
      <c r="E80" t="s">
        <v>272</v>
      </c>
      <c r="F80">
        <f t="shared" si="4"/>
        <v>602</v>
      </c>
      <c r="G80" t="s">
        <v>273</v>
      </c>
      <c r="H80" t="s">
        <v>274</v>
      </c>
    </row>
    <row r="81" spans="1:8">
      <c r="A81" t="s">
        <v>294</v>
      </c>
      <c r="B81" t="s">
        <v>293</v>
      </c>
      <c r="C81" t="s">
        <v>295</v>
      </c>
      <c r="E81" t="s">
        <v>275</v>
      </c>
      <c r="F81">
        <f t="shared" si="4"/>
        <v>603</v>
      </c>
      <c r="G81" t="s">
        <v>276</v>
      </c>
      <c r="H81" t="s">
        <v>277</v>
      </c>
    </row>
    <row r="82" spans="1:8">
      <c r="A82" t="s">
        <v>309</v>
      </c>
      <c r="B82" t="s">
        <v>308</v>
      </c>
      <c r="C82" t="s">
        <v>310</v>
      </c>
      <c r="E82" t="s">
        <v>278</v>
      </c>
      <c r="F82">
        <f t="shared" si="4"/>
        <v>691</v>
      </c>
      <c r="G82" t="s">
        <v>279</v>
      </c>
      <c r="H82" t="s">
        <v>280</v>
      </c>
    </row>
    <row r="83" spans="1:8">
      <c r="A83" t="s">
        <v>312</v>
      </c>
      <c r="B83" t="s">
        <v>311</v>
      </c>
      <c r="C83" t="s">
        <v>313</v>
      </c>
      <c r="E83" t="s">
        <v>281</v>
      </c>
      <c r="F83">
        <f t="shared" si="4"/>
        <v>692</v>
      </c>
      <c r="G83" t="s">
        <v>282</v>
      </c>
      <c r="H83" t="s">
        <v>283</v>
      </c>
    </row>
    <row r="84" spans="1:8">
      <c r="A84" t="s">
        <v>315</v>
      </c>
      <c r="B84" t="s">
        <v>314</v>
      </c>
      <c r="C84" t="s">
        <v>316</v>
      </c>
      <c r="E84" t="s">
        <v>284</v>
      </c>
      <c r="F84">
        <f t="shared" si="4"/>
        <v>700</v>
      </c>
      <c r="G84" t="s">
        <v>285</v>
      </c>
      <c r="H84" t="s">
        <v>286</v>
      </c>
    </row>
    <row r="85" spans="1:8">
      <c r="A85" t="s">
        <v>318</v>
      </c>
      <c r="B85" t="s">
        <v>317</v>
      </c>
      <c r="C85" t="s">
        <v>319</v>
      </c>
      <c r="E85" t="s">
        <v>287</v>
      </c>
      <c r="F85">
        <f t="shared" si="4"/>
        <v>716</v>
      </c>
      <c r="G85" t="s">
        <v>288</v>
      </c>
      <c r="H85" t="s">
        <v>289</v>
      </c>
    </row>
    <row r="86" spans="1:8">
      <c r="A86" t="s">
        <v>321</v>
      </c>
      <c r="B86" t="s">
        <v>320</v>
      </c>
      <c r="C86" t="s">
        <v>322</v>
      </c>
      <c r="E86" t="s">
        <v>290</v>
      </c>
      <c r="F86">
        <f t="shared" si="4"/>
        <v>940</v>
      </c>
      <c r="G86" t="s">
        <v>291</v>
      </c>
      <c r="H86" t="s">
        <v>292</v>
      </c>
    </row>
    <row r="87" spans="1:8">
      <c r="A87" t="s">
        <v>157</v>
      </c>
      <c r="B87" t="s">
        <v>156</v>
      </c>
      <c r="C87" t="s">
        <v>158</v>
      </c>
      <c r="E87" t="s">
        <v>293</v>
      </c>
      <c r="F87">
        <f t="shared" si="4"/>
        <v>941</v>
      </c>
      <c r="G87" t="s">
        <v>294</v>
      </c>
      <c r="H87" t="s">
        <v>295</v>
      </c>
    </row>
    <row r="88" spans="1:8">
      <c r="A88" t="s">
        <v>80</v>
      </c>
      <c r="B88" t="s">
        <v>79</v>
      </c>
      <c r="C88" t="s">
        <v>81</v>
      </c>
      <c r="E88" t="s">
        <v>296</v>
      </c>
      <c r="F88">
        <f t="shared" si="4"/>
        <v>945</v>
      </c>
      <c r="G88" t="s">
        <v>297</v>
      </c>
      <c r="H88" t="s">
        <v>298</v>
      </c>
    </row>
    <row r="89" spans="1:8">
      <c r="A89" t="s">
        <v>182</v>
      </c>
      <c r="B89" t="s">
        <v>183</v>
      </c>
      <c r="C89" t="s">
        <v>184</v>
      </c>
      <c r="E89" t="s">
        <v>299</v>
      </c>
      <c r="F89">
        <f t="shared" si="4"/>
        <v>946</v>
      </c>
      <c r="G89" t="s">
        <v>300</v>
      </c>
      <c r="H89" t="s">
        <v>301</v>
      </c>
    </row>
    <row r="90" spans="1:8">
      <c r="A90" t="s">
        <v>209</v>
      </c>
      <c r="B90" t="s">
        <v>208</v>
      </c>
      <c r="C90" t="s">
        <v>210</v>
      </c>
      <c r="E90" t="s">
        <v>302</v>
      </c>
      <c r="F90">
        <f t="shared" si="4"/>
        <v>948</v>
      </c>
      <c r="G90" t="s">
        <v>303</v>
      </c>
      <c r="H90" t="s">
        <v>304</v>
      </c>
    </row>
    <row r="91" spans="1:8">
      <c r="A91" t="s">
        <v>217</v>
      </c>
      <c r="B91" t="s">
        <v>216</v>
      </c>
      <c r="C91" t="s">
        <v>218</v>
      </c>
      <c r="E91" t="s">
        <v>305</v>
      </c>
      <c r="F91">
        <f t="shared" si="4"/>
        <v>949</v>
      </c>
      <c r="G91" t="s">
        <v>306</v>
      </c>
      <c r="H91" t="s">
        <v>307</v>
      </c>
    </row>
    <row r="92" spans="1:8">
      <c r="A92" t="s">
        <v>212</v>
      </c>
      <c r="B92" t="s">
        <v>211</v>
      </c>
      <c r="C92" t="s">
        <v>213</v>
      </c>
      <c r="E92" t="s">
        <v>308</v>
      </c>
      <c r="F92">
        <f t="shared" si="4"/>
        <v>950</v>
      </c>
      <c r="G92" t="s">
        <v>309</v>
      </c>
      <c r="H92" t="s">
        <v>310</v>
      </c>
    </row>
    <row r="93" spans="1:8">
      <c r="A93" t="s">
        <v>257</v>
      </c>
      <c r="B93" t="s">
        <v>258</v>
      </c>
      <c r="C93" t="s">
        <v>259</v>
      </c>
      <c r="E93" t="s">
        <v>311</v>
      </c>
      <c r="F93">
        <f t="shared" si="4"/>
        <v>965</v>
      </c>
      <c r="G93" t="s">
        <v>312</v>
      </c>
      <c r="H93" t="s">
        <v>313</v>
      </c>
    </row>
    <row r="94" spans="1:8">
      <c r="A94" t="s">
        <v>260</v>
      </c>
      <c r="B94" t="s">
        <v>261</v>
      </c>
      <c r="C94" t="s">
        <v>262</v>
      </c>
      <c r="E94" t="s">
        <v>314</v>
      </c>
      <c r="F94">
        <f t="shared" si="4"/>
        <v>966</v>
      </c>
      <c r="G94" t="s">
        <v>315</v>
      </c>
      <c r="H94" t="s">
        <v>316</v>
      </c>
    </row>
    <row r="95" spans="1:8">
      <c r="A95" t="s">
        <v>263</v>
      </c>
      <c r="B95" t="s">
        <v>264</v>
      </c>
      <c r="C95" t="s">
        <v>265</v>
      </c>
      <c r="E95" t="s">
        <v>317</v>
      </c>
      <c r="F95">
        <f t="shared" si="4"/>
        <v>967</v>
      </c>
      <c r="G95" t="s">
        <v>318</v>
      </c>
      <c r="H95" t="s">
        <v>319</v>
      </c>
    </row>
    <row r="96" spans="1:8">
      <c r="A96" t="s">
        <v>279</v>
      </c>
      <c r="B96" t="s">
        <v>278</v>
      </c>
      <c r="C96" t="s">
        <v>280</v>
      </c>
      <c r="E96" t="s">
        <v>320</v>
      </c>
      <c r="F96">
        <f t="shared" si="4"/>
        <v>969</v>
      </c>
      <c r="G96" t="s">
        <v>321</v>
      </c>
      <c r="H96" t="s">
        <v>322</v>
      </c>
    </row>
    <row r="97" spans="1:8">
      <c r="A97" t="s">
        <v>282</v>
      </c>
      <c r="B97" t="s">
        <v>281</v>
      </c>
      <c r="C97" t="s">
        <v>283</v>
      </c>
      <c r="E97" s="8">
        <v>980</v>
      </c>
      <c r="F97">
        <f t="shared" si="4"/>
        <v>980</v>
      </c>
      <c r="G97" t="s">
        <v>214</v>
      </c>
      <c r="H97" t="s">
        <v>215</v>
      </c>
    </row>
  </sheetData>
  <sortState ref="A98:A191">
    <sortCondition ref="A98:A191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8"/>
  <dimension ref="A1:U112"/>
  <sheetViews>
    <sheetView workbookViewId="0">
      <pane xSplit="1" ySplit="6" topLeftCell="B91" activePane="bottomRight" state="frozen"/>
      <selection pane="topRight" activeCell="B1" sqref="B1"/>
      <selection pane="bottomLeft" activeCell="A6" sqref="A6"/>
      <selection pane="bottomRight" activeCell="A111" sqref="A111"/>
    </sheetView>
  </sheetViews>
  <sheetFormatPr defaultRowHeight="15"/>
  <cols>
    <col min="1" max="1" width="55.7109375" bestFit="1" customWidth="1"/>
    <col min="2" max="3" width="9.28515625" customWidth="1"/>
    <col min="4" max="5" width="9.140625" customWidth="1"/>
  </cols>
  <sheetData>
    <row r="1" spans="1:21">
      <c r="A1" s="2" t="s">
        <v>687</v>
      </c>
    </row>
    <row r="2" spans="1:21">
      <c r="A2" t="s">
        <v>610</v>
      </c>
    </row>
    <row r="4" spans="1:21">
      <c r="A4" t="s">
        <v>542</v>
      </c>
      <c r="C4" s="147" t="s">
        <v>543</v>
      </c>
      <c r="D4" s="147"/>
      <c r="E4" s="147"/>
      <c r="F4" s="147"/>
    </row>
    <row r="5" spans="1:21">
      <c r="A5" s="84" t="s">
        <v>520</v>
      </c>
      <c r="B5" s="84">
        <v>2017</v>
      </c>
      <c r="C5" s="81">
        <v>2016</v>
      </c>
      <c r="D5" s="81">
        <v>2015</v>
      </c>
      <c r="E5" s="81">
        <v>2015</v>
      </c>
      <c r="F5" s="81">
        <v>2014</v>
      </c>
      <c r="G5" s="24">
        <v>2014</v>
      </c>
      <c r="H5">
        <f>G5-1</f>
        <v>2013</v>
      </c>
      <c r="I5">
        <f t="shared" ref="I5:U5" si="0">H5-1</f>
        <v>2012</v>
      </c>
      <c r="J5">
        <f t="shared" si="0"/>
        <v>2011</v>
      </c>
      <c r="K5">
        <f t="shared" si="0"/>
        <v>2010</v>
      </c>
      <c r="L5">
        <f t="shared" si="0"/>
        <v>2009</v>
      </c>
      <c r="M5">
        <f t="shared" si="0"/>
        <v>2008</v>
      </c>
      <c r="N5">
        <f t="shared" si="0"/>
        <v>2007</v>
      </c>
      <c r="O5">
        <f t="shared" si="0"/>
        <v>2006</v>
      </c>
      <c r="P5">
        <f t="shared" si="0"/>
        <v>2005</v>
      </c>
      <c r="Q5">
        <f t="shared" si="0"/>
        <v>2004</v>
      </c>
      <c r="R5">
        <f t="shared" si="0"/>
        <v>2003</v>
      </c>
      <c r="S5">
        <f t="shared" si="0"/>
        <v>2002</v>
      </c>
      <c r="T5">
        <f t="shared" si="0"/>
        <v>2001</v>
      </c>
      <c r="U5">
        <f t="shared" si="0"/>
        <v>2000</v>
      </c>
    </row>
    <row r="6" spans="1:21">
      <c r="A6" s="82" t="s">
        <v>377</v>
      </c>
      <c r="B6" s="82" t="s">
        <v>329</v>
      </c>
      <c r="C6" s="82" t="s">
        <v>376</v>
      </c>
      <c r="D6" s="82" t="s">
        <v>1</v>
      </c>
      <c r="E6" s="82" t="s">
        <v>376</v>
      </c>
      <c r="F6" s="82" t="s">
        <v>1</v>
      </c>
      <c r="G6" t="s">
        <v>29</v>
      </c>
      <c r="H6" t="s">
        <v>1</v>
      </c>
      <c r="I6" t="s">
        <v>1</v>
      </c>
      <c r="J6" t="s">
        <v>1</v>
      </c>
      <c r="K6" t="s">
        <v>1</v>
      </c>
      <c r="L6" t="s">
        <v>1</v>
      </c>
      <c r="M6" t="s">
        <v>1</v>
      </c>
      <c r="N6" t="s">
        <v>1</v>
      </c>
      <c r="O6" t="s">
        <v>1</v>
      </c>
      <c r="P6" t="s">
        <v>1</v>
      </c>
      <c r="Q6" t="s">
        <v>1</v>
      </c>
      <c r="R6" t="s">
        <v>1</v>
      </c>
      <c r="S6" t="s">
        <v>1</v>
      </c>
      <c r="T6" t="s">
        <v>1</v>
      </c>
      <c r="U6" t="s">
        <v>1</v>
      </c>
    </row>
    <row r="7" spans="1:21">
      <c r="A7" s="86" t="s">
        <v>378</v>
      </c>
      <c r="B7" s="142">
        <f>922+85</f>
        <v>1007</v>
      </c>
      <c r="C7">
        <f>934+85</f>
        <v>1019</v>
      </c>
      <c r="D7">
        <f>942+85</f>
        <v>1027</v>
      </c>
      <c r="E7">
        <f>941+85</f>
        <v>1026</v>
      </c>
      <c r="F7">
        <f>935.5+85</f>
        <v>1020.5</v>
      </c>
    </row>
    <row r="8" spans="1:21">
      <c r="A8" s="82" t="s">
        <v>379</v>
      </c>
      <c r="B8" s="65"/>
    </row>
    <row r="9" spans="1:21">
      <c r="A9" s="82" t="s">
        <v>380</v>
      </c>
      <c r="B9" s="65"/>
    </row>
    <row r="10" spans="1:21">
      <c r="A10" s="82" t="s">
        <v>410</v>
      </c>
      <c r="B10" s="65"/>
    </row>
    <row r="11" spans="1:21">
      <c r="A11" s="82" t="s">
        <v>381</v>
      </c>
      <c r="B11" s="65"/>
    </row>
    <row r="12" spans="1:21">
      <c r="A12" s="82" t="s">
        <v>382</v>
      </c>
      <c r="B12" s="65"/>
    </row>
    <row r="13" spans="1:21">
      <c r="A13" s="82" t="s">
        <v>411</v>
      </c>
      <c r="B13" s="65"/>
    </row>
    <row r="14" spans="1:21">
      <c r="A14" s="82" t="s">
        <v>383</v>
      </c>
      <c r="B14" s="65"/>
    </row>
    <row r="15" spans="1:21">
      <c r="A15" s="82" t="s">
        <v>384</v>
      </c>
      <c r="B15" s="65"/>
    </row>
    <row r="16" spans="1:21">
      <c r="A16" s="82" t="s">
        <v>385</v>
      </c>
      <c r="B16" s="65"/>
    </row>
    <row r="17" spans="1:6">
      <c r="A17" s="82" t="s">
        <v>386</v>
      </c>
      <c r="B17" s="65"/>
    </row>
    <row r="18" spans="1:6">
      <c r="A18" s="82" t="s">
        <v>387</v>
      </c>
      <c r="B18" s="65"/>
    </row>
    <row r="19" spans="1:6">
      <c r="A19" s="82" t="s">
        <v>388</v>
      </c>
      <c r="B19" s="65"/>
    </row>
    <row r="20" spans="1:6">
      <c r="A20" s="82" t="s">
        <v>389</v>
      </c>
      <c r="B20" s="65"/>
    </row>
    <row r="21" spans="1:6">
      <c r="A21" s="82" t="s">
        <v>390</v>
      </c>
      <c r="B21" s="65"/>
    </row>
    <row r="22" spans="1:6">
      <c r="A22" s="82" t="s">
        <v>473</v>
      </c>
      <c r="B22" s="65"/>
    </row>
    <row r="23" spans="1:6">
      <c r="A23" s="86" t="s">
        <v>412</v>
      </c>
      <c r="B23" s="141"/>
    </row>
    <row r="24" spans="1:6">
      <c r="A24" s="86" t="s">
        <v>391</v>
      </c>
      <c r="B24" s="142">
        <f>369+28</f>
        <v>397</v>
      </c>
      <c r="C24">
        <f>370.5+28</f>
        <v>398.5</v>
      </c>
      <c r="D24">
        <f>367.5+28</f>
        <v>395.5</v>
      </c>
      <c r="E24">
        <f>365.5+28</f>
        <v>393.5</v>
      </c>
      <c r="F24">
        <f>362.5+28</f>
        <v>390.5</v>
      </c>
    </row>
    <row r="25" spans="1:6">
      <c r="A25" s="82" t="s">
        <v>392</v>
      </c>
      <c r="B25" s="65"/>
    </row>
    <row r="26" spans="1:6">
      <c r="A26" s="82" t="s">
        <v>393</v>
      </c>
      <c r="B26" s="65"/>
    </row>
    <row r="27" spans="1:6">
      <c r="A27" s="82" t="s">
        <v>394</v>
      </c>
      <c r="B27" s="65"/>
    </row>
    <row r="28" spans="1:6">
      <c r="A28" s="82" t="s">
        <v>395</v>
      </c>
      <c r="B28" s="65"/>
    </row>
    <row r="29" spans="1:6">
      <c r="A29" s="86" t="s">
        <v>396</v>
      </c>
      <c r="B29" s="141"/>
    </row>
    <row r="30" spans="1:6">
      <c r="A30" s="86" t="s">
        <v>397</v>
      </c>
      <c r="B30" s="142">
        <f>4247+43</f>
        <v>4290</v>
      </c>
      <c r="C30">
        <f>4193+43</f>
        <v>4236</v>
      </c>
      <c r="D30">
        <f>4191+43</f>
        <v>4234</v>
      </c>
      <c r="E30">
        <f>4183+43</f>
        <v>4226</v>
      </c>
      <c r="F30">
        <f>4176+43</f>
        <v>4219</v>
      </c>
    </row>
    <row r="31" spans="1:6">
      <c r="A31" s="82" t="s">
        <v>410</v>
      </c>
      <c r="B31" s="65"/>
    </row>
    <row r="32" spans="1:6">
      <c r="A32" s="82" t="s">
        <v>398</v>
      </c>
      <c r="B32" s="65"/>
    </row>
    <row r="33" spans="1:6">
      <c r="A33" s="82" t="s">
        <v>474</v>
      </c>
      <c r="B33" s="65"/>
    </row>
    <row r="34" spans="1:6">
      <c r="A34" s="82" t="s">
        <v>413</v>
      </c>
      <c r="B34" s="65"/>
    </row>
    <row r="35" spans="1:6">
      <c r="A35" s="82" t="s">
        <v>473</v>
      </c>
      <c r="B35" s="65"/>
    </row>
    <row r="36" spans="1:6">
      <c r="A36" s="82" t="s">
        <v>399</v>
      </c>
      <c r="B36" s="65"/>
    </row>
    <row r="37" spans="1:6">
      <c r="A37" s="82" t="s">
        <v>395</v>
      </c>
      <c r="B37" s="65"/>
    </row>
    <row r="38" spans="1:6">
      <c r="A38" s="82" t="s">
        <v>400</v>
      </c>
      <c r="B38" s="65"/>
    </row>
    <row r="39" spans="1:6">
      <c r="A39" s="82" t="s">
        <v>401</v>
      </c>
      <c r="B39" s="65"/>
    </row>
    <row r="40" spans="1:6">
      <c r="A40" s="82" t="s">
        <v>472</v>
      </c>
      <c r="B40" s="65"/>
    </row>
    <row r="41" spans="1:6">
      <c r="A41" s="82" t="s">
        <v>402</v>
      </c>
      <c r="B41" s="65"/>
    </row>
    <row r="42" spans="1:6">
      <c r="A42" s="86" t="s">
        <v>403</v>
      </c>
      <c r="B42" s="141"/>
    </row>
    <row r="43" spans="1:6">
      <c r="A43" s="86" t="s">
        <v>404</v>
      </c>
      <c r="B43" s="142">
        <v>377</v>
      </c>
      <c r="C43">
        <v>370</v>
      </c>
      <c r="D43">
        <v>366</v>
      </c>
      <c r="E43">
        <v>362</v>
      </c>
      <c r="F43">
        <v>350</v>
      </c>
    </row>
    <row r="44" spans="1:6">
      <c r="A44" s="82" t="s">
        <v>405</v>
      </c>
      <c r="B44" s="65"/>
    </row>
    <row r="45" spans="1:6">
      <c r="A45" s="82" t="s">
        <v>477</v>
      </c>
      <c r="B45" s="65"/>
    </row>
    <row r="46" spans="1:6">
      <c r="A46" s="82" t="s">
        <v>406</v>
      </c>
      <c r="B46" s="65"/>
    </row>
    <row r="47" spans="1:6">
      <c r="A47" s="82" t="s">
        <v>407</v>
      </c>
      <c r="B47" s="65"/>
    </row>
    <row r="48" spans="1:6">
      <c r="A48" s="82" t="s">
        <v>479</v>
      </c>
      <c r="B48" s="65"/>
    </row>
    <row r="49" spans="1:6">
      <c r="A49" s="82" t="s">
        <v>461</v>
      </c>
      <c r="B49" s="65"/>
    </row>
    <row r="50" spans="1:6">
      <c r="A50" s="82" t="s">
        <v>481</v>
      </c>
      <c r="B50" s="65"/>
    </row>
    <row r="51" spans="1:6">
      <c r="A51" s="82" t="s">
        <v>408</v>
      </c>
      <c r="B51" s="65"/>
    </row>
    <row r="52" spans="1:6">
      <c r="A52" s="86" t="s">
        <v>409</v>
      </c>
      <c r="B52" s="141"/>
    </row>
    <row r="53" spans="1:6">
      <c r="A53" s="86" t="s">
        <v>414</v>
      </c>
      <c r="B53" s="142">
        <v>2522</v>
      </c>
      <c r="C53">
        <v>2512</v>
      </c>
      <c r="D53">
        <v>2499</v>
      </c>
      <c r="E53">
        <v>2390.6799999999998</v>
      </c>
      <c r="F53">
        <v>2409</v>
      </c>
    </row>
    <row r="54" spans="1:6">
      <c r="A54" s="82" t="s">
        <v>471</v>
      </c>
      <c r="B54" s="65"/>
    </row>
    <row r="55" spans="1:6">
      <c r="A55" s="82" t="s">
        <v>415</v>
      </c>
      <c r="B55" s="65"/>
    </row>
    <row r="56" spans="1:6">
      <c r="A56" s="82" t="s">
        <v>416</v>
      </c>
      <c r="B56" s="65"/>
    </row>
    <row r="57" spans="1:6">
      <c r="A57" s="82" t="s">
        <v>452</v>
      </c>
      <c r="B57" s="65"/>
    </row>
    <row r="58" spans="1:6">
      <c r="A58" s="82" t="s">
        <v>417</v>
      </c>
      <c r="B58" s="65"/>
    </row>
    <row r="59" spans="1:6">
      <c r="A59" s="82" t="s">
        <v>418</v>
      </c>
      <c r="B59" s="65"/>
    </row>
    <row r="60" spans="1:6">
      <c r="A60" s="82" t="s">
        <v>419</v>
      </c>
      <c r="B60" s="65"/>
    </row>
    <row r="61" spans="1:6">
      <c r="A61" s="82" t="s">
        <v>473</v>
      </c>
      <c r="B61" s="65"/>
    </row>
    <row r="62" spans="1:6">
      <c r="A62" s="86" t="s">
        <v>420</v>
      </c>
      <c r="B62" s="141"/>
    </row>
    <row r="63" spans="1:6">
      <c r="A63" s="86" t="s">
        <v>421</v>
      </c>
      <c r="B63" s="142">
        <v>717</v>
      </c>
      <c r="C63">
        <v>736</v>
      </c>
      <c r="D63">
        <v>756</v>
      </c>
      <c r="E63">
        <v>732</v>
      </c>
      <c r="F63">
        <v>732</v>
      </c>
    </row>
    <row r="64" spans="1:6">
      <c r="A64" s="81" t="s">
        <v>453</v>
      </c>
      <c r="B64" s="142"/>
    </row>
    <row r="65" spans="1:6">
      <c r="A65" s="82" t="s">
        <v>422</v>
      </c>
      <c r="B65" s="65"/>
    </row>
    <row r="66" spans="1:6">
      <c r="A66" s="82" t="s">
        <v>423</v>
      </c>
      <c r="B66" s="65"/>
    </row>
    <row r="67" spans="1:6">
      <c r="A67" s="82" t="s">
        <v>473</v>
      </c>
      <c r="B67" s="65"/>
    </row>
    <row r="68" spans="1:6">
      <c r="A68" s="86" t="s">
        <v>424</v>
      </c>
      <c r="B68" s="141"/>
    </row>
    <row r="69" spans="1:6">
      <c r="A69" s="86" t="s">
        <v>425</v>
      </c>
      <c r="B69" s="142">
        <f>492+36</f>
        <v>528</v>
      </c>
      <c r="C69">
        <f>493+36</f>
        <v>529</v>
      </c>
      <c r="D69">
        <f>496+35</f>
        <v>531</v>
      </c>
      <c r="E69">
        <f>481+35</f>
        <v>516</v>
      </c>
      <c r="F69">
        <f>477+35</f>
        <v>512</v>
      </c>
    </row>
    <row r="70" spans="1:6">
      <c r="A70" s="82" t="s">
        <v>426</v>
      </c>
      <c r="B70" s="65"/>
    </row>
    <row r="71" spans="1:6">
      <c r="A71" s="82" t="s">
        <v>484</v>
      </c>
      <c r="B71" s="65"/>
    </row>
    <row r="72" spans="1:6">
      <c r="A72" s="82" t="s">
        <v>398</v>
      </c>
      <c r="B72" s="65"/>
    </row>
    <row r="73" spans="1:6">
      <c r="A73" s="82" t="s">
        <v>427</v>
      </c>
      <c r="B73" s="65"/>
    </row>
    <row r="74" spans="1:6">
      <c r="A74" s="82" t="s">
        <v>428</v>
      </c>
      <c r="B74" s="65"/>
    </row>
    <row r="75" spans="1:6">
      <c r="A75" s="82" t="s">
        <v>429</v>
      </c>
      <c r="B75" s="65"/>
    </row>
    <row r="76" spans="1:6">
      <c r="A76" s="82" t="s">
        <v>430</v>
      </c>
      <c r="B76" s="65"/>
    </row>
    <row r="77" spans="1:6">
      <c r="A77" s="82" t="s">
        <v>431</v>
      </c>
      <c r="B77" s="65"/>
    </row>
    <row r="78" spans="1:6">
      <c r="A78" s="82" t="s">
        <v>473</v>
      </c>
      <c r="B78" s="65"/>
    </row>
    <row r="79" spans="1:6">
      <c r="A79" s="86" t="s">
        <v>432</v>
      </c>
      <c r="B79" s="141"/>
    </row>
    <row r="80" spans="1:6">
      <c r="A80" s="86" t="s">
        <v>433</v>
      </c>
      <c r="B80" s="141"/>
    </row>
    <row r="81" spans="1:20">
      <c r="A81" s="82" t="s">
        <v>408</v>
      </c>
      <c r="B81" s="65"/>
    </row>
    <row r="82" spans="1:20">
      <c r="A82" s="82" t="s">
        <v>473</v>
      </c>
      <c r="B82" s="65"/>
    </row>
    <row r="83" spans="1:20">
      <c r="A83" s="82" t="s">
        <v>434</v>
      </c>
      <c r="B83" s="65"/>
    </row>
    <row r="84" spans="1:20">
      <c r="A84" s="86" t="s">
        <v>435</v>
      </c>
      <c r="B84" s="141"/>
    </row>
    <row r="85" spans="1:20">
      <c r="A85" s="86" t="s">
        <v>436</v>
      </c>
      <c r="B85">
        <f>SUM(B7:B84)</f>
        <v>9838</v>
      </c>
      <c r="C85">
        <f>SUM(C7:C84)</f>
        <v>9800.5</v>
      </c>
      <c r="D85">
        <f>SUM(D7:D84)</f>
        <v>9808.5</v>
      </c>
      <c r="E85">
        <f>SUM(E7:E84)</f>
        <v>9646.18</v>
      </c>
      <c r="F85">
        <f>SUM(F7:F84)</f>
        <v>9633</v>
      </c>
    </row>
    <row r="86" spans="1:20">
      <c r="A86" s="109" t="s">
        <v>544</v>
      </c>
      <c r="B86">
        <v>133.1</v>
      </c>
      <c r="C86">
        <v>133.1</v>
      </c>
      <c r="D86">
        <v>133.1</v>
      </c>
      <c r="E86">
        <v>133.1</v>
      </c>
      <c r="F86">
        <v>133.1</v>
      </c>
    </row>
    <row r="87" spans="1:20">
      <c r="A87" s="109" t="s">
        <v>688</v>
      </c>
      <c r="B87" s="67">
        <f>SUM(B85:B86)</f>
        <v>9971.1</v>
      </c>
      <c r="C87" s="67">
        <f>SUM(C85:C86)</f>
        <v>9933.6</v>
      </c>
      <c r="D87" s="67">
        <f>SUM(D85:D86)</f>
        <v>9941.6</v>
      </c>
      <c r="E87" s="67">
        <f>SUM(E85:E86)</f>
        <v>9779.2800000000007</v>
      </c>
      <c r="F87" s="67">
        <f>SUM(F85:F86)</f>
        <v>9766.1</v>
      </c>
    </row>
    <row r="88" spans="1:20">
      <c r="A88" s="109" t="s">
        <v>689</v>
      </c>
    </row>
    <row r="89" spans="1:20">
      <c r="A89" s="109" t="s">
        <v>690</v>
      </c>
      <c r="B89">
        <v>9795</v>
      </c>
      <c r="C89">
        <v>9757</v>
      </c>
      <c r="D89">
        <v>9765</v>
      </c>
    </row>
    <row r="90" spans="1:20">
      <c r="A90" s="109" t="s">
        <v>691</v>
      </c>
      <c r="B90">
        <v>1347</v>
      </c>
      <c r="C90">
        <v>1322</v>
      </c>
      <c r="D90">
        <v>1345</v>
      </c>
    </row>
    <row r="91" spans="1:20">
      <c r="A91" s="109" t="s">
        <v>692</v>
      </c>
      <c r="B91">
        <v>1260</v>
      </c>
      <c r="C91">
        <v>1256</v>
      </c>
      <c r="D91">
        <v>1244</v>
      </c>
    </row>
    <row r="92" spans="1:20">
      <c r="A92" s="109" t="s">
        <v>693</v>
      </c>
      <c r="B92">
        <f>SUM(B89:B91)</f>
        <v>12402</v>
      </c>
      <c r="C92">
        <f>SUM(C89:C91)</f>
        <v>12335</v>
      </c>
      <c r="D92">
        <f>SUM(D89:D91)</f>
        <v>12354</v>
      </c>
      <c r="K92">
        <v>11184</v>
      </c>
      <c r="T92">
        <v>10383</v>
      </c>
    </row>
    <row r="93" spans="1:20">
      <c r="A93" s="109" t="s">
        <v>694</v>
      </c>
    </row>
    <row r="95" spans="1:20">
      <c r="A95" t="s">
        <v>695</v>
      </c>
    </row>
    <row r="96" spans="1:20">
      <c r="A96" t="s">
        <v>545</v>
      </c>
    </row>
    <row r="97" spans="1:6">
      <c r="A97" t="s">
        <v>547</v>
      </c>
    </row>
    <row r="98" spans="1:6">
      <c r="A98" t="s">
        <v>546</v>
      </c>
    </row>
    <row r="99" spans="1:6">
      <c r="A99" t="s">
        <v>548</v>
      </c>
    </row>
    <row r="100" spans="1:6">
      <c r="A100" t="s">
        <v>549</v>
      </c>
    </row>
    <row r="101" spans="1:6">
      <c r="A101" t="s">
        <v>550</v>
      </c>
    </row>
    <row r="102" spans="1:6">
      <c r="A102" t="s">
        <v>551</v>
      </c>
      <c r="C102">
        <v>12</v>
      </c>
      <c r="D102">
        <v>12</v>
      </c>
      <c r="E102">
        <v>12</v>
      </c>
      <c r="F102">
        <v>12</v>
      </c>
    </row>
    <row r="103" spans="1:6">
      <c r="A103" t="s">
        <v>552</v>
      </c>
    </row>
    <row r="104" spans="1:6">
      <c r="A104" t="s">
        <v>553</v>
      </c>
      <c r="C104">
        <v>181</v>
      </c>
      <c r="D104">
        <v>180</v>
      </c>
      <c r="E104">
        <v>176</v>
      </c>
      <c r="F104">
        <v>174</v>
      </c>
    </row>
    <row r="105" spans="1:6">
      <c r="A105" t="s">
        <v>554</v>
      </c>
      <c r="C105">
        <v>144</v>
      </c>
      <c r="D105">
        <v>146</v>
      </c>
      <c r="E105">
        <v>147</v>
      </c>
      <c r="F105">
        <v>147</v>
      </c>
    </row>
    <row r="106" spans="1:6">
      <c r="A106" t="s">
        <v>17</v>
      </c>
      <c r="C106">
        <v>144</v>
      </c>
      <c r="D106">
        <v>144</v>
      </c>
      <c r="E106">
        <v>144</v>
      </c>
      <c r="F106">
        <v>144</v>
      </c>
    </row>
    <row r="107" spans="1:6">
      <c r="A107" t="s">
        <v>555</v>
      </c>
      <c r="C107">
        <v>12</v>
      </c>
      <c r="D107">
        <v>12</v>
      </c>
      <c r="E107">
        <v>12</v>
      </c>
      <c r="F107">
        <v>12</v>
      </c>
    </row>
    <row r="108" spans="1:6">
      <c r="A108" t="s">
        <v>556</v>
      </c>
      <c r="C108">
        <v>41</v>
      </c>
      <c r="D108">
        <v>41</v>
      </c>
      <c r="E108">
        <v>41</v>
      </c>
      <c r="F108">
        <v>41</v>
      </c>
    </row>
    <row r="109" spans="1:6">
      <c r="A109" t="s">
        <v>557</v>
      </c>
      <c r="C109">
        <v>14</v>
      </c>
      <c r="D109">
        <v>14</v>
      </c>
      <c r="E109">
        <v>14</v>
      </c>
      <c r="F109">
        <v>14</v>
      </c>
    </row>
    <row r="110" spans="1:6">
      <c r="A110" t="s">
        <v>558</v>
      </c>
      <c r="C110">
        <v>260</v>
      </c>
      <c r="D110">
        <v>258</v>
      </c>
      <c r="E110">
        <v>258</v>
      </c>
      <c r="F110">
        <v>258</v>
      </c>
    </row>
    <row r="111" spans="1:6">
      <c r="A111" t="s">
        <v>559</v>
      </c>
      <c r="C111">
        <v>10</v>
      </c>
      <c r="D111">
        <v>10</v>
      </c>
      <c r="E111">
        <v>10</v>
      </c>
      <c r="F111">
        <v>10</v>
      </c>
    </row>
    <row r="112" spans="1:6">
      <c r="A112" s="144" t="s">
        <v>560</v>
      </c>
    </row>
  </sheetData>
  <mergeCells count="1">
    <mergeCell ref="C4:F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0"/>
  <dimension ref="A1:T13"/>
  <sheetViews>
    <sheetView workbookViewId="0"/>
  </sheetViews>
  <sheetFormatPr defaultRowHeight="15"/>
  <cols>
    <col min="1" max="1" width="31.140625" customWidth="1"/>
    <col min="7" max="7" width="11.140625" bestFit="1" customWidth="1"/>
  </cols>
  <sheetData>
    <row r="1" spans="1:20">
      <c r="A1" t="s">
        <v>687</v>
      </c>
    </row>
    <row r="2" spans="1:20">
      <c r="A2" t="s">
        <v>565</v>
      </c>
    </row>
    <row r="5" spans="1:20">
      <c r="A5" t="s">
        <v>540</v>
      </c>
      <c r="B5">
        <f>'Rev and Major Expenditures'!D3</f>
        <v>247.05904070392211</v>
      </c>
      <c r="C5">
        <f>'Rev and Major Expenditures'!E3</f>
        <v>244.6129115880417</v>
      </c>
      <c r="D5">
        <f>'GenFund Statement'!I2</f>
        <v>240.6423134166667</v>
      </c>
      <c r="E5">
        <f>'GenFund Statement'!K2</f>
        <v>236.73616666666669</v>
      </c>
      <c r="F5">
        <f>'GenFund Statement'!L2</f>
        <v>232.95708333333334</v>
      </c>
      <c r="G5">
        <f>'GenFund Statement'!M2</f>
        <v>229.5939166666667</v>
      </c>
      <c r="H5">
        <f>'GenFund Statement'!N2</f>
        <v>224.93916666666667</v>
      </c>
      <c r="I5">
        <f>'GenFund Statement'!O2</f>
        <v>218.05600000000001</v>
      </c>
      <c r="J5">
        <f>'GenFund Statement'!P2</f>
        <v>214.53700000000001</v>
      </c>
      <c r="K5">
        <f>'GenFund Statement'!Q2</f>
        <v>215.303</v>
      </c>
      <c r="L5">
        <f>'GenFund Statement'!R2</f>
        <v>207.34200000000001</v>
      </c>
      <c r="M5">
        <f>'GenFund Statement'!S2</f>
        <v>201.6</v>
      </c>
      <c r="N5">
        <f>'GenFund Statement'!T2</f>
        <v>195.3</v>
      </c>
      <c r="O5">
        <f>'GenFund Statement'!U2</f>
        <v>188.9</v>
      </c>
      <c r="P5">
        <f>'GenFund Statement'!V2</f>
        <v>184</v>
      </c>
      <c r="Q5">
        <f>'GenFund Statement'!W2</f>
        <v>179.9</v>
      </c>
      <c r="R5">
        <f>'GenFund Statement'!X2</f>
        <v>177.1</v>
      </c>
      <c r="S5">
        <f>'GenFund Statement'!Y2</f>
        <v>172.2</v>
      </c>
      <c r="T5">
        <f>'GenFund Statement'!Z2</f>
        <v>166.6</v>
      </c>
    </row>
    <row r="6" spans="1:20">
      <c r="A6" s="144" t="s">
        <v>561</v>
      </c>
    </row>
    <row r="7" spans="1:20">
      <c r="A7" t="s">
        <v>520</v>
      </c>
      <c r="B7" s="45">
        <v>2017</v>
      </c>
      <c r="C7" s="45">
        <v>2016</v>
      </c>
      <c r="D7" s="45">
        <v>2015</v>
      </c>
      <c r="E7" s="45">
        <v>2014</v>
      </c>
      <c r="F7" s="45">
        <v>2013</v>
      </c>
      <c r="G7" s="45">
        <v>2012</v>
      </c>
      <c r="H7" s="45">
        <v>2011</v>
      </c>
      <c r="I7" s="45">
        <v>2010</v>
      </c>
      <c r="J7" s="45">
        <v>2009</v>
      </c>
      <c r="K7" s="45">
        <v>2008</v>
      </c>
      <c r="L7" s="45">
        <v>2007</v>
      </c>
      <c r="M7" s="45">
        <v>2006</v>
      </c>
      <c r="N7" s="45">
        <v>2005</v>
      </c>
      <c r="O7" s="45">
        <v>2004</v>
      </c>
      <c r="P7" s="45">
        <v>2003</v>
      </c>
      <c r="Q7" s="45">
        <v>2002</v>
      </c>
      <c r="R7" s="45">
        <v>2001</v>
      </c>
      <c r="S7" s="45">
        <v>2000</v>
      </c>
      <c r="T7" s="45">
        <v>1999</v>
      </c>
    </row>
    <row r="8" spans="1:20">
      <c r="A8" s="2" t="s">
        <v>675</v>
      </c>
      <c r="B8" s="2"/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</row>
    <row r="9" spans="1:20">
      <c r="A9" t="s">
        <v>567</v>
      </c>
      <c r="B9">
        <v>154.05933300000001</v>
      </c>
      <c r="C9">
        <v>146.818108</v>
      </c>
      <c r="D9">
        <v>152.53399300000001</v>
      </c>
      <c r="E9">
        <v>160.69999999999999</v>
      </c>
      <c r="F9">
        <v>159.69999999999999</v>
      </c>
      <c r="G9">
        <v>143.4</v>
      </c>
      <c r="H9">
        <v>138.5</v>
      </c>
      <c r="I9">
        <v>133.19999999999999</v>
      </c>
      <c r="J9">
        <v>148.19999999999999</v>
      </c>
      <c r="K9">
        <v>140</v>
      </c>
      <c r="L9">
        <v>131.30000000000001</v>
      </c>
      <c r="M9">
        <v>114.5</v>
      </c>
      <c r="N9">
        <v>100.6</v>
      </c>
      <c r="O9">
        <v>93.6</v>
      </c>
      <c r="P9">
        <v>87.7</v>
      </c>
      <c r="Q9">
        <v>87.7</v>
      </c>
      <c r="R9">
        <v>86.2</v>
      </c>
    </row>
    <row r="10" spans="1:20">
      <c r="A10" t="s">
        <v>562</v>
      </c>
      <c r="B10">
        <f>B9/B5*$E$5</f>
        <v>147.62226806082032</v>
      </c>
      <c r="C10">
        <f>C9/C5*$E$5</f>
        <v>142.09043937839229</v>
      </c>
      <c r="D10">
        <f>D9/D5*$E$5</f>
        <v>150.05803541564194</v>
      </c>
      <c r="E10">
        <f t="shared" ref="E10:R10" si="0">E9/E5*$E$5</f>
        <v>160.69999999999999</v>
      </c>
      <c r="F10">
        <f t="shared" si="0"/>
        <v>162.2906900949209</v>
      </c>
      <c r="G10">
        <f t="shared" si="0"/>
        <v>147.86091370742619</v>
      </c>
      <c r="H10">
        <f t="shared" si="0"/>
        <v>145.76367277078617</v>
      </c>
      <c r="I10">
        <f t="shared" si="0"/>
        <v>144.61082199068127</v>
      </c>
      <c r="J10">
        <f t="shared" si="0"/>
        <v>163.5349608692207</v>
      </c>
      <c r="K10">
        <f t="shared" si="0"/>
        <v>153.9368393999774</v>
      </c>
      <c r="L10">
        <f t="shared" si="0"/>
        <v>149.91395223029264</v>
      </c>
      <c r="M10">
        <f t="shared" si="0"/>
        <v>134.45580894510582</v>
      </c>
      <c r="N10">
        <f t="shared" si="0"/>
        <v>121.94397525174944</v>
      </c>
      <c r="O10">
        <f t="shared" si="0"/>
        <v>117.30283324510323</v>
      </c>
      <c r="P10">
        <f t="shared" si="0"/>
        <v>112.83566204710147</v>
      </c>
      <c r="Q10">
        <f t="shared" si="0"/>
        <v>115.40723633500093</v>
      </c>
      <c r="R10">
        <f t="shared" si="0"/>
        <v>115.22675079992473</v>
      </c>
    </row>
    <row r="11" spans="1:20">
      <c r="A11" s="2" t="s">
        <v>563</v>
      </c>
      <c r="B11" s="2"/>
    </row>
    <row r="12" spans="1:20">
      <c r="A12" t="s">
        <v>566</v>
      </c>
      <c r="E12">
        <v>151.96599499999999</v>
      </c>
      <c r="F12">
        <v>156.17030800000001</v>
      </c>
      <c r="G12">
        <v>155.466216</v>
      </c>
      <c r="H12">
        <v>150.53700799999999</v>
      </c>
      <c r="I12">
        <v>138.54261299999999</v>
      </c>
      <c r="J12">
        <v>139.98713799999999</v>
      </c>
      <c r="K12">
        <v>138.32322400000001</v>
      </c>
      <c r="L12">
        <v>132.54194799999999</v>
      </c>
      <c r="M12">
        <v>127.179068</v>
      </c>
      <c r="N12">
        <v>115.40523399999999</v>
      </c>
      <c r="O12">
        <v>101.997399</v>
      </c>
      <c r="P12">
        <v>93.427420999999995</v>
      </c>
      <c r="Q12">
        <v>91.291753999999997</v>
      </c>
      <c r="R12">
        <v>89.266311000000002</v>
      </c>
    </row>
    <row r="13" spans="1:20">
      <c r="E13" s="4"/>
      <c r="F13" s="4"/>
      <c r="G13" s="110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</row>
  </sheetData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1"/>
  <dimension ref="A1:T48"/>
  <sheetViews>
    <sheetView workbookViewId="0">
      <pane xSplit="2" ySplit="4" topLeftCell="C44" activePane="bottomRight" state="frozen"/>
      <selection pane="topRight" activeCell="C1" sqref="C1"/>
      <selection pane="bottomLeft" activeCell="A5" sqref="A5"/>
      <selection pane="bottomRight" activeCell="O52" sqref="O52"/>
    </sheetView>
  </sheetViews>
  <sheetFormatPr defaultRowHeight="15"/>
  <cols>
    <col min="1" max="1" width="28.140625" bestFit="1" customWidth="1"/>
    <col min="2" max="2" width="10.140625" bestFit="1" customWidth="1"/>
    <col min="5" max="5" width="9.140625" customWidth="1"/>
    <col min="16" max="19" width="9.5703125" bestFit="1" customWidth="1"/>
    <col min="20" max="20" width="11" bestFit="1" customWidth="1"/>
  </cols>
  <sheetData>
    <row r="1" spans="1:19">
      <c r="A1" s="21" t="s">
        <v>644</v>
      </c>
    </row>
    <row r="2" spans="1:19">
      <c r="A2" t="s">
        <v>590</v>
      </c>
      <c r="B2" s="2" t="s">
        <v>667</v>
      </c>
    </row>
    <row r="4" spans="1:19">
      <c r="A4" s="2" t="s">
        <v>645</v>
      </c>
      <c r="B4" t="s">
        <v>574</v>
      </c>
      <c r="C4">
        <v>2017</v>
      </c>
      <c r="D4">
        <v>2016</v>
      </c>
      <c r="E4">
        <v>2015</v>
      </c>
      <c r="F4">
        <v>2014</v>
      </c>
      <c r="G4">
        <v>2013</v>
      </c>
      <c r="H4">
        <v>2012</v>
      </c>
      <c r="I4">
        <v>2011</v>
      </c>
      <c r="J4">
        <v>2010</v>
      </c>
      <c r="K4">
        <v>2009</v>
      </c>
      <c r="L4">
        <v>2008</v>
      </c>
      <c r="M4">
        <v>2007</v>
      </c>
      <c r="N4">
        <v>2006</v>
      </c>
      <c r="O4">
        <v>2005</v>
      </c>
      <c r="P4">
        <v>2004</v>
      </c>
      <c r="Q4">
        <v>2003</v>
      </c>
      <c r="R4">
        <v>2002</v>
      </c>
      <c r="S4">
        <v>2001</v>
      </c>
    </row>
    <row r="5" spans="1:19">
      <c r="A5" t="s">
        <v>568</v>
      </c>
      <c r="B5" s="1">
        <v>0.73199999999999998</v>
      </c>
      <c r="C5">
        <v>1.69</v>
      </c>
      <c r="D5">
        <v>3.27</v>
      </c>
      <c r="E5">
        <v>5.82</v>
      </c>
      <c r="F5">
        <v>3.13</v>
      </c>
      <c r="G5">
        <v>0.7</v>
      </c>
      <c r="H5">
        <v>2.1</v>
      </c>
      <c r="I5">
        <v>-5.5</v>
      </c>
      <c r="J5">
        <v>-11.34</v>
      </c>
      <c r="K5">
        <v>-3.12</v>
      </c>
      <c r="L5">
        <v>-0.43</v>
      </c>
      <c r="M5">
        <v>20.37</v>
      </c>
      <c r="N5">
        <v>22.21</v>
      </c>
      <c r="O5">
        <v>11.2</v>
      </c>
      <c r="P5">
        <v>14.15</v>
      </c>
      <c r="Q5">
        <v>16.14</v>
      </c>
      <c r="R5">
        <v>12.08</v>
      </c>
      <c r="S5">
        <v>6.43</v>
      </c>
    </row>
    <row r="6" spans="1:19">
      <c r="A6" t="s">
        <v>569</v>
      </c>
      <c r="B6" s="1">
        <v>0.185</v>
      </c>
      <c r="C6">
        <v>2.0499999999999998</v>
      </c>
      <c r="D6">
        <v>3.81</v>
      </c>
      <c r="E6">
        <v>8.39</v>
      </c>
      <c r="F6">
        <v>4.5</v>
      </c>
      <c r="G6">
        <v>1.2</v>
      </c>
      <c r="H6">
        <v>3.73</v>
      </c>
      <c r="I6">
        <v>-4.4400000000000004</v>
      </c>
      <c r="J6">
        <v>-16.059999999999999</v>
      </c>
      <c r="K6">
        <v>-4.96</v>
      </c>
      <c r="L6">
        <v>0.64</v>
      </c>
      <c r="M6">
        <v>22.69</v>
      </c>
      <c r="N6">
        <v>26.08</v>
      </c>
      <c r="O6">
        <v>12.99</v>
      </c>
      <c r="P6">
        <v>17</v>
      </c>
      <c r="Q6">
        <v>18.559999999999999</v>
      </c>
      <c r="R6">
        <v>10.98</v>
      </c>
      <c r="S6">
        <v>2.2200000000000002</v>
      </c>
    </row>
    <row r="7" spans="1:19">
      <c r="A7" t="s">
        <v>570</v>
      </c>
      <c r="B7" s="1">
        <v>6.5000000000000002E-2</v>
      </c>
      <c r="C7">
        <v>0.73</v>
      </c>
      <c r="D7">
        <v>4.4800000000000004</v>
      </c>
      <c r="E7">
        <v>10.51</v>
      </c>
      <c r="F7">
        <v>5.42</v>
      </c>
      <c r="G7">
        <v>-0.06</v>
      </c>
      <c r="H7">
        <v>2.5299999999999998</v>
      </c>
      <c r="I7">
        <v>-10.45</v>
      </c>
      <c r="J7">
        <v>-19.510000000000002</v>
      </c>
      <c r="K7">
        <v>-4.54</v>
      </c>
      <c r="L7">
        <v>-2.23</v>
      </c>
      <c r="M7">
        <v>25.97</v>
      </c>
      <c r="N7">
        <v>33.49</v>
      </c>
      <c r="O7">
        <v>16.239999999999998</v>
      </c>
      <c r="P7">
        <v>20.09</v>
      </c>
      <c r="Q7">
        <v>21.19</v>
      </c>
      <c r="R7">
        <v>10.3</v>
      </c>
      <c r="S7">
        <v>1.17</v>
      </c>
    </row>
    <row r="8" spans="1:19">
      <c r="A8" t="s">
        <v>571</v>
      </c>
      <c r="B8" s="1">
        <v>1.3000000000000001E-2</v>
      </c>
      <c r="C8">
        <v>0.92</v>
      </c>
      <c r="D8">
        <v>3.03</v>
      </c>
      <c r="E8">
        <v>3.38</v>
      </c>
      <c r="F8">
        <v>2.89</v>
      </c>
      <c r="G8">
        <v>-1.66</v>
      </c>
      <c r="H8">
        <v>-3.5</v>
      </c>
      <c r="I8">
        <v>-6.68</v>
      </c>
      <c r="J8">
        <v>-7.08</v>
      </c>
      <c r="K8">
        <v>7.66</v>
      </c>
      <c r="L8">
        <v>3.86</v>
      </c>
      <c r="M8">
        <v>25.44</v>
      </c>
      <c r="N8">
        <v>26.32</v>
      </c>
      <c r="O8">
        <v>15.19</v>
      </c>
      <c r="P8">
        <v>23.23</v>
      </c>
      <c r="Q8">
        <v>15.23</v>
      </c>
      <c r="R8">
        <v>7.9</v>
      </c>
      <c r="S8">
        <v>9.84</v>
      </c>
    </row>
    <row r="9" spans="1:19">
      <c r="A9" t="s">
        <v>573</v>
      </c>
      <c r="B9" s="1">
        <v>5.0000000000000001E-3</v>
      </c>
      <c r="C9">
        <v>6.42</v>
      </c>
      <c r="D9">
        <v>2.56</v>
      </c>
      <c r="E9">
        <v>3.42</v>
      </c>
      <c r="F9">
        <v>4.74</v>
      </c>
      <c r="G9">
        <v>2.56</v>
      </c>
      <c r="H9">
        <v>2.69</v>
      </c>
      <c r="I9">
        <v>-3.6</v>
      </c>
      <c r="J9">
        <v>-4.99</v>
      </c>
      <c r="K9">
        <v>6.46</v>
      </c>
      <c r="L9">
        <v>2.97</v>
      </c>
      <c r="M9">
        <v>9.67</v>
      </c>
      <c r="N9">
        <v>5.3</v>
      </c>
      <c r="O9">
        <v>4.8899999999999997</v>
      </c>
      <c r="P9">
        <v>2.58</v>
      </c>
      <c r="Q9">
        <v>3</v>
      </c>
      <c r="R9">
        <v>5.73</v>
      </c>
      <c r="S9">
        <v>1.38</v>
      </c>
    </row>
    <row r="10" spans="1:19">
      <c r="A10" s="2" t="s">
        <v>572</v>
      </c>
      <c r="B10" s="1">
        <v>1</v>
      </c>
      <c r="C10">
        <v>1.64</v>
      </c>
      <c r="D10">
        <v>3.39</v>
      </c>
      <c r="E10">
        <v>6.54</v>
      </c>
      <c r="F10">
        <v>3.5</v>
      </c>
      <c r="G10">
        <v>0.71</v>
      </c>
      <c r="H10">
        <v>2.34</v>
      </c>
      <c r="I10">
        <v>-5.56</v>
      </c>
      <c r="J10">
        <v>-12.55</v>
      </c>
      <c r="K10">
        <v>-3.38</v>
      </c>
      <c r="L10">
        <v>-0.33</v>
      </c>
      <c r="M10">
        <v>20.57</v>
      </c>
      <c r="N10">
        <v>23.09</v>
      </c>
      <c r="O10">
        <v>11.29</v>
      </c>
      <c r="P10">
        <v>14.55</v>
      </c>
      <c r="Q10">
        <v>16.27</v>
      </c>
      <c r="R10">
        <v>11.26</v>
      </c>
      <c r="S10">
        <v>5.13</v>
      </c>
    </row>
    <row r="12" spans="1:19">
      <c r="A12" s="2" t="s">
        <v>647</v>
      </c>
      <c r="B12">
        <v>2000</v>
      </c>
      <c r="C12">
        <f>C4</f>
        <v>2017</v>
      </c>
      <c r="D12">
        <f>D4</f>
        <v>2016</v>
      </c>
      <c r="E12">
        <v>2015</v>
      </c>
      <c r="F12">
        <v>2014</v>
      </c>
      <c r="G12">
        <v>2013</v>
      </c>
      <c r="H12">
        <v>2012</v>
      </c>
      <c r="I12">
        <v>2011</v>
      </c>
      <c r="J12">
        <v>2010</v>
      </c>
      <c r="K12">
        <v>2009</v>
      </c>
      <c r="L12">
        <v>2008</v>
      </c>
      <c r="M12">
        <v>2007</v>
      </c>
      <c r="N12">
        <v>2006</v>
      </c>
      <c r="O12">
        <v>2005</v>
      </c>
      <c r="P12">
        <v>2004</v>
      </c>
      <c r="Q12">
        <v>2003</v>
      </c>
      <c r="R12">
        <v>2002</v>
      </c>
      <c r="S12">
        <v>2001</v>
      </c>
    </row>
    <row r="13" spans="1:19">
      <c r="A13" t="s">
        <v>568</v>
      </c>
      <c r="B13" s="1">
        <v>1</v>
      </c>
      <c r="C13" s="68">
        <f t="shared" ref="C13:R13" si="0">D13*(1+C5/100)</f>
        <v>2.463555203975281</v>
      </c>
      <c r="D13" s="68">
        <f t="shared" si="0"/>
        <v>2.4226130435394642</v>
      </c>
      <c r="E13" s="68">
        <f t="shared" si="0"/>
        <v>2.3459020466151488</v>
      </c>
      <c r="F13" s="68">
        <f t="shared" si="0"/>
        <v>2.2168796509309665</v>
      </c>
      <c r="G13" s="68">
        <f t="shared" si="0"/>
        <v>2.149597256793335</v>
      </c>
      <c r="H13" s="68">
        <f t="shared" si="0"/>
        <v>2.1346546740748114</v>
      </c>
      <c r="I13" s="68">
        <f t="shared" si="0"/>
        <v>2.0907489462045166</v>
      </c>
      <c r="J13" s="68">
        <f t="shared" si="0"/>
        <v>2.2124327473063667</v>
      </c>
      <c r="K13" s="68">
        <f t="shared" si="0"/>
        <v>2.4954125279792088</v>
      </c>
      <c r="L13" s="68">
        <f t="shared" si="0"/>
        <v>2.5757767629843196</v>
      </c>
      <c r="M13" s="68">
        <f t="shared" si="0"/>
        <v>2.5869004348541926</v>
      </c>
      <c r="N13" s="68">
        <f t="shared" si="0"/>
        <v>2.1491238970293201</v>
      </c>
      <c r="O13" s="68">
        <f t="shared" si="0"/>
        <v>1.7585499525647004</v>
      </c>
      <c r="P13" s="68">
        <f t="shared" si="0"/>
        <v>1.5814298134574643</v>
      </c>
      <c r="Q13" s="68">
        <f t="shared" si="0"/>
        <v>1.3853962448160002</v>
      </c>
      <c r="R13" s="68">
        <f t="shared" si="0"/>
        <v>1.1928674400000001</v>
      </c>
      <c r="S13" s="68">
        <f t="shared" ref="S13:S18" si="1">B13*(1+S5/100)</f>
        <v>1.0643</v>
      </c>
    </row>
    <row r="14" spans="1:19">
      <c r="A14" t="s">
        <v>569</v>
      </c>
      <c r="B14" s="1">
        <v>1</v>
      </c>
      <c r="C14" s="68">
        <f t="shared" ref="C14:R14" si="2">D14*(1+C6/100)</f>
        <v>2.6580600224343618</v>
      </c>
      <c r="D14" s="68">
        <f t="shared" si="2"/>
        <v>2.6046644021894778</v>
      </c>
      <c r="E14" s="68">
        <f t="shared" si="2"/>
        <v>2.5090688779399652</v>
      </c>
      <c r="F14" s="68">
        <f t="shared" si="2"/>
        <v>2.3148527335916276</v>
      </c>
      <c r="G14" s="68">
        <f t="shared" si="2"/>
        <v>2.2151700799919882</v>
      </c>
      <c r="H14" s="68">
        <f t="shared" si="2"/>
        <v>2.1889032410988025</v>
      </c>
      <c r="I14" s="68">
        <f t="shared" si="2"/>
        <v>2.1101930406813865</v>
      </c>
      <c r="J14" s="68">
        <f t="shared" si="2"/>
        <v>2.2082388454179434</v>
      </c>
      <c r="K14" s="68">
        <f t="shared" si="2"/>
        <v>2.6307348646866133</v>
      </c>
      <c r="L14" s="68">
        <f t="shared" si="2"/>
        <v>2.7680291084665543</v>
      </c>
      <c r="M14" s="68">
        <f t="shared" si="2"/>
        <v>2.7504263796368784</v>
      </c>
      <c r="N14" s="68">
        <f t="shared" si="2"/>
        <v>2.2417689947321526</v>
      </c>
      <c r="O14" s="68">
        <f t="shared" si="2"/>
        <v>1.7780528194258827</v>
      </c>
      <c r="P14" s="68">
        <f t="shared" si="2"/>
        <v>1.5736373302291198</v>
      </c>
      <c r="Q14" s="68">
        <f t="shared" si="2"/>
        <v>1.3449891711359998</v>
      </c>
      <c r="R14" s="68">
        <f t="shared" si="2"/>
        <v>1.1344375599999998</v>
      </c>
      <c r="S14" s="68">
        <f t="shared" si="1"/>
        <v>1.0222</v>
      </c>
    </row>
    <row r="15" spans="1:19">
      <c r="A15" t="s">
        <v>570</v>
      </c>
      <c r="B15" s="1">
        <v>1</v>
      </c>
      <c r="C15" s="68">
        <f t="shared" ref="C15:R15" si="3">D15*(1+C7/100)</f>
        <v>2.6829576062500506</v>
      </c>
      <c r="D15" s="68">
        <f t="shared" si="3"/>
        <v>2.6635139543830539</v>
      </c>
      <c r="E15" s="68">
        <f t="shared" si="3"/>
        <v>2.5493050865075171</v>
      </c>
      <c r="F15" s="68">
        <f t="shared" si="3"/>
        <v>2.3068546615758909</v>
      </c>
      <c r="G15" s="68">
        <f t="shared" si="3"/>
        <v>2.188251433860644</v>
      </c>
      <c r="H15" s="68">
        <f t="shared" si="3"/>
        <v>2.1895651729644228</v>
      </c>
      <c r="I15" s="68">
        <f t="shared" si="3"/>
        <v>2.1355361093966865</v>
      </c>
      <c r="J15" s="68">
        <f t="shared" si="3"/>
        <v>2.3847416073664842</v>
      </c>
      <c r="K15" s="68">
        <f t="shared" si="3"/>
        <v>2.9627799818194611</v>
      </c>
      <c r="L15" s="68">
        <f t="shared" si="3"/>
        <v>3.1036873892933805</v>
      </c>
      <c r="M15" s="68">
        <f t="shared" si="3"/>
        <v>3.1744782543657362</v>
      </c>
      <c r="N15" s="68">
        <f t="shared" si="3"/>
        <v>2.5200271924789521</v>
      </c>
      <c r="O15" s="68">
        <f t="shared" si="3"/>
        <v>1.8878022267427912</v>
      </c>
      <c r="P15" s="68">
        <f t="shared" si="3"/>
        <v>1.6240555976796209</v>
      </c>
      <c r="Q15" s="68">
        <f t="shared" si="3"/>
        <v>1.3523653906899999</v>
      </c>
      <c r="R15" s="68">
        <f t="shared" si="3"/>
        <v>1.1159051</v>
      </c>
      <c r="S15" s="68">
        <f t="shared" si="1"/>
        <v>1.0117</v>
      </c>
    </row>
    <row r="16" spans="1:19">
      <c r="A16" t="s">
        <v>571</v>
      </c>
      <c r="B16" s="1">
        <v>1</v>
      </c>
      <c r="C16" s="68">
        <f t="shared" ref="C16:R16" si="4">D16*(1+C8/100)</f>
        <v>3.1259476374672097</v>
      </c>
      <c r="D16" s="68">
        <f t="shared" si="4"/>
        <v>3.097451087462554</v>
      </c>
      <c r="E16" s="68">
        <f t="shared" si="4"/>
        <v>3.0063584271207939</v>
      </c>
      <c r="F16" s="68">
        <f t="shared" si="4"/>
        <v>2.9080658029800674</v>
      </c>
      <c r="G16" s="68">
        <f t="shared" si="4"/>
        <v>2.8263833248907257</v>
      </c>
      <c r="H16" s="68">
        <f t="shared" si="4"/>
        <v>2.8740932732262818</v>
      </c>
      <c r="I16" s="68">
        <f t="shared" si="4"/>
        <v>2.9783349981619502</v>
      </c>
      <c r="J16" s="68">
        <f t="shared" si="4"/>
        <v>3.1915291450513825</v>
      </c>
      <c r="K16" s="68">
        <f t="shared" si="4"/>
        <v>3.4347063549842685</v>
      </c>
      <c r="L16" s="68">
        <f t="shared" si="4"/>
        <v>3.1903272849565933</v>
      </c>
      <c r="M16" s="68">
        <f t="shared" si="4"/>
        <v>3.0717574474837219</v>
      </c>
      <c r="N16" s="68">
        <f t="shared" si="4"/>
        <v>2.4487862304557733</v>
      </c>
      <c r="O16" s="68">
        <f t="shared" si="4"/>
        <v>1.938557813850359</v>
      </c>
      <c r="P16" s="68">
        <f t="shared" si="4"/>
        <v>1.6829219670547435</v>
      </c>
      <c r="Q16" s="68">
        <f t="shared" si="4"/>
        <v>1.3656755392799997</v>
      </c>
      <c r="R16" s="68">
        <f t="shared" si="4"/>
        <v>1.1851735999999999</v>
      </c>
      <c r="S16" s="68">
        <f t="shared" si="1"/>
        <v>1.0984</v>
      </c>
    </row>
    <row r="17" spans="1:19">
      <c r="A17" t="s">
        <v>586</v>
      </c>
      <c r="B17" s="1">
        <v>1</v>
      </c>
      <c r="C17" s="68">
        <f t="shared" ref="C17:R17" si="5">D17*(1+C9/100)</f>
        <v>1.7150184676318767</v>
      </c>
      <c r="D17" s="68">
        <f t="shared" si="5"/>
        <v>1.6115565378987753</v>
      </c>
      <c r="E17" s="68">
        <f t="shared" si="5"/>
        <v>1.5713304776704127</v>
      </c>
      <c r="F17" s="68">
        <f t="shared" si="5"/>
        <v>1.5193680890257326</v>
      </c>
      <c r="G17" s="68">
        <f t="shared" si="5"/>
        <v>1.4506092123598744</v>
      </c>
      <c r="H17" s="68">
        <f t="shared" si="5"/>
        <v>1.4144005580732004</v>
      </c>
      <c r="I17" s="68">
        <f t="shared" si="5"/>
        <v>1.3773498471839523</v>
      </c>
      <c r="J17" s="68">
        <f t="shared" si="5"/>
        <v>1.4287861485310709</v>
      </c>
      <c r="K17" s="68">
        <f t="shared" si="5"/>
        <v>1.50382712191461</v>
      </c>
      <c r="L17" s="68">
        <f t="shared" si="5"/>
        <v>1.4125747904514465</v>
      </c>
      <c r="M17" s="68">
        <f t="shared" si="5"/>
        <v>1.3718313979328411</v>
      </c>
      <c r="N17" s="68">
        <f t="shared" si="5"/>
        <v>1.2508720688728376</v>
      </c>
      <c r="O17" s="68">
        <f t="shared" si="5"/>
        <v>1.1879126959856008</v>
      </c>
      <c r="P17" s="68">
        <f t="shared" si="5"/>
        <v>1.13253188672476</v>
      </c>
      <c r="Q17" s="68">
        <f t="shared" si="5"/>
        <v>1.1040474622000001</v>
      </c>
      <c r="R17" s="68">
        <f t="shared" si="5"/>
        <v>1.07189074</v>
      </c>
      <c r="S17" s="68">
        <f t="shared" si="1"/>
        <v>1.0138</v>
      </c>
    </row>
    <row r="18" spans="1:19">
      <c r="A18" s="2" t="s">
        <v>572</v>
      </c>
      <c r="B18" s="1">
        <v>1</v>
      </c>
      <c r="C18" s="68">
        <f t="shared" ref="C18:R18" si="6">D18*(1+C10/100)</f>
        <v>2.4440393120907573</v>
      </c>
      <c r="D18" s="68">
        <f t="shared" si="6"/>
        <v>2.4046038096131026</v>
      </c>
      <c r="E18" s="68">
        <f t="shared" si="6"/>
        <v>2.3257605277232831</v>
      </c>
      <c r="F18" s="68">
        <f t="shared" si="6"/>
        <v>2.1829927986890212</v>
      </c>
      <c r="G18" s="68">
        <f t="shared" si="6"/>
        <v>2.1091717861729675</v>
      </c>
      <c r="H18" s="68">
        <f t="shared" si="6"/>
        <v>2.094302240267071</v>
      </c>
      <c r="I18" s="68">
        <f t="shared" si="6"/>
        <v>2.0464161034464246</v>
      </c>
      <c r="J18" s="68">
        <f t="shared" si="6"/>
        <v>2.1668954928488189</v>
      </c>
      <c r="K18" s="68">
        <f t="shared" si="6"/>
        <v>2.4778679163508506</v>
      </c>
      <c r="L18" s="68">
        <f t="shared" si="6"/>
        <v>2.5645496960782972</v>
      </c>
      <c r="M18" s="68">
        <f t="shared" si="6"/>
        <v>2.5730407304889105</v>
      </c>
      <c r="N18" s="68">
        <f t="shared" si="6"/>
        <v>2.1340638056638555</v>
      </c>
      <c r="O18" s="68">
        <f t="shared" si="6"/>
        <v>1.733742631947238</v>
      </c>
      <c r="P18" s="68">
        <f t="shared" si="6"/>
        <v>1.5578602138082829</v>
      </c>
      <c r="Q18" s="68">
        <f t="shared" si="6"/>
        <v>1.3599827270259999</v>
      </c>
      <c r="R18" s="68">
        <f t="shared" si="6"/>
        <v>1.1696763799999998</v>
      </c>
      <c r="S18" s="68">
        <f t="shared" si="1"/>
        <v>1.0512999999999999</v>
      </c>
    </row>
    <row r="22" spans="1:19">
      <c r="A22" s="2" t="s">
        <v>646</v>
      </c>
      <c r="B22" t="s">
        <v>574</v>
      </c>
      <c r="C22">
        <f>C12</f>
        <v>2017</v>
      </c>
      <c r="D22">
        <v>2016</v>
      </c>
      <c r="E22">
        <v>2015</v>
      </c>
      <c r="F22">
        <v>2014</v>
      </c>
      <c r="G22">
        <v>2013</v>
      </c>
      <c r="H22">
        <v>2012</v>
      </c>
      <c r="I22">
        <v>2011</v>
      </c>
      <c r="J22">
        <v>2010</v>
      </c>
      <c r="K22">
        <v>2009</v>
      </c>
      <c r="L22">
        <v>2008</v>
      </c>
      <c r="M22">
        <v>2007</v>
      </c>
      <c r="N22">
        <v>2006</v>
      </c>
      <c r="O22">
        <v>2005</v>
      </c>
      <c r="P22">
        <v>2004</v>
      </c>
      <c r="Q22">
        <v>2003</v>
      </c>
      <c r="R22">
        <v>2002</v>
      </c>
      <c r="S22">
        <v>2001</v>
      </c>
    </row>
    <row r="23" spans="1:19">
      <c r="A23" t="s">
        <v>575</v>
      </c>
      <c r="B23" s="111">
        <v>0.183</v>
      </c>
      <c r="C23">
        <v>2.92</v>
      </c>
      <c r="D23">
        <v>1.2</v>
      </c>
      <c r="E23">
        <v>3.59</v>
      </c>
      <c r="F23">
        <v>4.9000000000000004</v>
      </c>
      <c r="G23">
        <v>12.6</v>
      </c>
      <c r="H23">
        <v>14.54</v>
      </c>
      <c r="I23">
        <v>-12.69</v>
      </c>
      <c r="J23">
        <v>-6.96</v>
      </c>
      <c r="K23">
        <v>6.41</v>
      </c>
      <c r="L23">
        <v>22.59</v>
      </c>
      <c r="M23">
        <v>11.65</v>
      </c>
      <c r="N23">
        <v>11.21</v>
      </c>
      <c r="O23">
        <v>1.86</v>
      </c>
      <c r="P23">
        <v>3.86</v>
      </c>
      <c r="Q23">
        <v>9.59</v>
      </c>
      <c r="R23">
        <v>6.53</v>
      </c>
      <c r="S23">
        <v>3.54</v>
      </c>
    </row>
    <row r="24" spans="1:19">
      <c r="A24" t="s">
        <v>576</v>
      </c>
      <c r="B24" s="111">
        <v>2.8000000000000001E-2</v>
      </c>
      <c r="C24">
        <v>1.86</v>
      </c>
      <c r="D24">
        <v>0.57999999999999996</v>
      </c>
      <c r="E24">
        <v>-7.0000000000000007E-2</v>
      </c>
      <c r="F24">
        <v>-0.66</v>
      </c>
      <c r="G24">
        <v>-0.31</v>
      </c>
      <c r="H24">
        <v>-1.53</v>
      </c>
      <c r="I24">
        <v>-7.57</v>
      </c>
      <c r="J24">
        <v>-1.1000000000000001</v>
      </c>
      <c r="K24">
        <v>4.78</v>
      </c>
      <c r="L24">
        <v>13.76</v>
      </c>
      <c r="M24">
        <v>1.96</v>
      </c>
      <c r="N24">
        <v>18.010000000000002</v>
      </c>
      <c r="O24">
        <v>13.59</v>
      </c>
      <c r="P24">
        <v>15.63</v>
      </c>
      <c r="Q24">
        <v>7.75</v>
      </c>
      <c r="R24">
        <v>4.95</v>
      </c>
      <c r="S24">
        <v>2.08</v>
      </c>
    </row>
    <row r="25" spans="1:19">
      <c r="A25" t="s">
        <v>577</v>
      </c>
      <c r="B25" s="111">
        <v>7.5999999999999998E-2</v>
      </c>
      <c r="C25">
        <v>7.43</v>
      </c>
      <c r="D25">
        <v>5.83</v>
      </c>
      <c r="E25">
        <v>1.77</v>
      </c>
      <c r="F25">
        <v>0.69</v>
      </c>
      <c r="G25">
        <v>6.75</v>
      </c>
      <c r="H25">
        <v>-0.31</v>
      </c>
      <c r="I25">
        <v>-23.48</v>
      </c>
      <c r="J25">
        <v>-1.08</v>
      </c>
      <c r="K25">
        <v>14.08</v>
      </c>
      <c r="L25">
        <v>14.34</v>
      </c>
      <c r="M25">
        <v>12.61</v>
      </c>
      <c r="N25">
        <v>8.89</v>
      </c>
      <c r="O25">
        <v>5.26</v>
      </c>
      <c r="P25">
        <v>-1.29</v>
      </c>
      <c r="Q25">
        <v>2.08</v>
      </c>
      <c r="R25">
        <v>7.25</v>
      </c>
      <c r="S25">
        <v>7.46</v>
      </c>
    </row>
    <row r="26" spans="1:19">
      <c r="A26" t="s">
        <v>578</v>
      </c>
      <c r="B26" s="111">
        <v>0.16900000000000001</v>
      </c>
      <c r="C26">
        <v>1.6</v>
      </c>
      <c r="D26">
        <v>2.46</v>
      </c>
      <c r="E26">
        <v>1.52</v>
      </c>
      <c r="F26">
        <v>1.18</v>
      </c>
      <c r="G26">
        <v>7.16</v>
      </c>
      <c r="H26">
        <v>1.9</v>
      </c>
      <c r="I26">
        <v>-16.07</v>
      </c>
      <c r="J26">
        <v>-1.74</v>
      </c>
      <c r="K26">
        <v>6.47</v>
      </c>
      <c r="L26">
        <v>8.7799999999999994</v>
      </c>
      <c r="M26">
        <v>15.95</v>
      </c>
      <c r="N26">
        <v>9.84</v>
      </c>
      <c r="O26" s="112">
        <v>7.1255621301775145</v>
      </c>
      <c r="P26" s="112">
        <v>3.5554437869822491</v>
      </c>
      <c r="Q26" s="112">
        <v>1.6591715976331363</v>
      </c>
      <c r="R26" s="112">
        <v>2.7377514792899404</v>
      </c>
      <c r="S26" s="112">
        <v>2.4328402366863906</v>
      </c>
    </row>
    <row r="27" spans="1:19">
      <c r="A27" t="s">
        <v>579</v>
      </c>
      <c r="B27" s="111">
        <v>0.372</v>
      </c>
      <c r="C27">
        <v>3.42</v>
      </c>
      <c r="D27">
        <v>-4.67</v>
      </c>
      <c r="E27">
        <v>-2.93</v>
      </c>
      <c r="F27">
        <v>-2.41</v>
      </c>
      <c r="G27">
        <v>11.34</v>
      </c>
      <c r="H27">
        <v>1.88</v>
      </c>
      <c r="I27">
        <v>-24.31</v>
      </c>
      <c r="J27">
        <v>-6.62</v>
      </c>
      <c r="K27">
        <v>5.68</v>
      </c>
      <c r="L27">
        <v>15.93</v>
      </c>
      <c r="M27">
        <v>24.16</v>
      </c>
      <c r="N27">
        <v>18.809999999999999</v>
      </c>
      <c r="O27">
        <v>3.27</v>
      </c>
      <c r="P27">
        <v>-10.73</v>
      </c>
      <c r="Q27">
        <v>-2.48</v>
      </c>
      <c r="R27">
        <v>6.54</v>
      </c>
      <c r="S27">
        <v>6.74</v>
      </c>
    </row>
    <row r="28" spans="1:19">
      <c r="A28" t="s">
        <v>580</v>
      </c>
      <c r="B28" s="111">
        <v>3.5999999999999997E-2</v>
      </c>
      <c r="C28">
        <v>1.73</v>
      </c>
      <c r="D28">
        <v>-5</v>
      </c>
      <c r="E28">
        <v>-2.41</v>
      </c>
      <c r="F28">
        <v>-1.72</v>
      </c>
      <c r="G28">
        <v>7.18</v>
      </c>
      <c r="H28">
        <v>0.49</v>
      </c>
      <c r="I28">
        <v>-23.86</v>
      </c>
      <c r="J28">
        <v>-3.35</v>
      </c>
      <c r="K28">
        <v>9.16</v>
      </c>
      <c r="L28">
        <v>10.18</v>
      </c>
      <c r="M28">
        <v>23.94</v>
      </c>
      <c r="N28">
        <v>17.559999999999999</v>
      </c>
      <c r="O28">
        <v>5.42</v>
      </c>
      <c r="P28">
        <v>-6.27</v>
      </c>
      <c r="Q28">
        <v>1.46</v>
      </c>
      <c r="R28">
        <v>7.3</v>
      </c>
      <c r="S28">
        <v>6.05</v>
      </c>
    </row>
    <row r="29" spans="1:19">
      <c r="A29" t="s">
        <v>571</v>
      </c>
      <c r="B29" s="111">
        <v>3.7999999999999999E-2</v>
      </c>
      <c r="C29">
        <v>1.5</v>
      </c>
      <c r="D29">
        <v>-4.62</v>
      </c>
      <c r="E29">
        <v>-1.19</v>
      </c>
      <c r="F29">
        <v>-0.74</v>
      </c>
      <c r="G29">
        <v>2.0099999999999998</v>
      </c>
      <c r="H29">
        <v>-2.0699999999999998</v>
      </c>
      <c r="I29">
        <v>-26.53</v>
      </c>
      <c r="J29">
        <v>-3.87</v>
      </c>
      <c r="K29">
        <v>7.67</v>
      </c>
      <c r="L29">
        <v>14.99</v>
      </c>
      <c r="M29">
        <v>21.88</v>
      </c>
      <c r="N29">
        <v>10.07</v>
      </c>
      <c r="O29">
        <v>7.15</v>
      </c>
      <c r="P29">
        <v>-6.55</v>
      </c>
      <c r="Q29">
        <v>-0.08</v>
      </c>
      <c r="R29">
        <v>6.36</v>
      </c>
      <c r="S29">
        <v>5.96</v>
      </c>
    </row>
    <row r="30" spans="1:19">
      <c r="A30" t="s">
        <v>581</v>
      </c>
      <c r="B30" s="111">
        <v>3.7999999999999999E-2</v>
      </c>
      <c r="C30">
        <v>3.61</v>
      </c>
      <c r="D30">
        <v>0.26</v>
      </c>
      <c r="E30">
        <v>-4.82</v>
      </c>
      <c r="F30">
        <v>-3.94</v>
      </c>
      <c r="G30">
        <v>3.87</v>
      </c>
      <c r="H30">
        <v>11.35</v>
      </c>
      <c r="I30">
        <v>-34.03</v>
      </c>
      <c r="J30">
        <v>-7.06</v>
      </c>
      <c r="K30">
        <v>11.28</v>
      </c>
      <c r="L30">
        <v>9.58</v>
      </c>
      <c r="M30">
        <v>25.54</v>
      </c>
      <c r="N30">
        <v>15.34</v>
      </c>
      <c r="O30">
        <v>4.4800000000000004</v>
      </c>
      <c r="P30">
        <v>-6.23</v>
      </c>
      <c r="Q30">
        <v>-15.39</v>
      </c>
      <c r="R30">
        <v>6.58</v>
      </c>
      <c r="S30">
        <v>7.16</v>
      </c>
    </row>
    <row r="31" spans="1:19">
      <c r="A31" t="s">
        <v>582</v>
      </c>
      <c r="B31" s="111">
        <v>0.06</v>
      </c>
      <c r="C31">
        <v>3.7</v>
      </c>
      <c r="D31">
        <v>5.26</v>
      </c>
      <c r="E31">
        <v>2.37</v>
      </c>
      <c r="F31">
        <v>1.17</v>
      </c>
      <c r="G31">
        <v>3.27</v>
      </c>
      <c r="H31">
        <v>2.37</v>
      </c>
      <c r="I31">
        <v>-12.84</v>
      </c>
      <c r="J31">
        <v>-2.0699999999999998</v>
      </c>
      <c r="K31">
        <v>7.63</v>
      </c>
      <c r="L31">
        <v>10.050000000000001</v>
      </c>
      <c r="M31">
        <v>12.19</v>
      </c>
      <c r="N31">
        <v>8.52</v>
      </c>
      <c r="O31">
        <v>5.15</v>
      </c>
      <c r="P31">
        <v>6</v>
      </c>
      <c r="Q31">
        <v>3.02</v>
      </c>
      <c r="R31">
        <v>6.35</v>
      </c>
      <c r="S31">
        <v>2.62</v>
      </c>
    </row>
    <row r="32" spans="1:19">
      <c r="A32" s="2" t="s">
        <v>583</v>
      </c>
      <c r="B32" s="111">
        <f>SUM(B23:B31)</f>
        <v>1</v>
      </c>
      <c r="C32">
        <v>2.87</v>
      </c>
      <c r="D32">
        <v>-0.6</v>
      </c>
      <c r="E32">
        <v>-0.1</v>
      </c>
      <c r="F32">
        <v>0.14000000000000001</v>
      </c>
      <c r="G32">
        <v>8.2100000000000009</v>
      </c>
      <c r="H32">
        <v>3.73</v>
      </c>
      <c r="I32">
        <v>-18.29</v>
      </c>
      <c r="J32">
        <v>-4.51</v>
      </c>
      <c r="K32">
        <v>7</v>
      </c>
      <c r="L32">
        <v>13.57</v>
      </c>
      <c r="M32">
        <v>16.64</v>
      </c>
      <c r="N32">
        <v>12.74</v>
      </c>
      <c r="O32">
        <v>3.74</v>
      </c>
      <c r="P32">
        <v>2.94</v>
      </c>
      <c r="Q32">
        <v>0.52</v>
      </c>
      <c r="R32">
        <v>5.92</v>
      </c>
      <c r="S32">
        <v>5.15</v>
      </c>
    </row>
    <row r="34" spans="1:20">
      <c r="A34" s="2" t="s">
        <v>647</v>
      </c>
      <c r="B34">
        <v>2000</v>
      </c>
      <c r="C34">
        <v>2017</v>
      </c>
      <c r="D34">
        <v>2016</v>
      </c>
      <c r="E34">
        <v>2015</v>
      </c>
      <c r="F34">
        <v>2014</v>
      </c>
      <c r="G34">
        <v>2013</v>
      </c>
      <c r="H34">
        <v>2012</v>
      </c>
      <c r="I34">
        <v>2011</v>
      </c>
      <c r="J34">
        <v>2010</v>
      </c>
      <c r="K34">
        <v>2009</v>
      </c>
      <c r="L34">
        <v>2008</v>
      </c>
      <c r="M34">
        <v>2007</v>
      </c>
      <c r="N34">
        <v>2006</v>
      </c>
      <c r="O34">
        <v>2005</v>
      </c>
      <c r="P34">
        <v>2004</v>
      </c>
      <c r="Q34">
        <v>2003</v>
      </c>
      <c r="R34">
        <v>2002</v>
      </c>
      <c r="S34">
        <v>2001</v>
      </c>
    </row>
    <row r="35" spans="1:20">
      <c r="A35" t="s">
        <v>575</v>
      </c>
      <c r="B35" s="1">
        <v>1</v>
      </c>
      <c r="C35" s="68">
        <f t="shared" ref="C35:R35" si="7">D35*(1+C23/100)</f>
        <v>2.4560993582209645</v>
      </c>
      <c r="D35" s="68">
        <f t="shared" si="7"/>
        <v>2.3864160107082828</v>
      </c>
      <c r="E35" s="68">
        <f t="shared" si="7"/>
        <v>2.3581185876564059</v>
      </c>
      <c r="F35" s="68">
        <f t="shared" si="7"/>
        <v>2.2763959722525398</v>
      </c>
      <c r="G35" s="68">
        <f t="shared" si="7"/>
        <v>2.1700628906125261</v>
      </c>
      <c r="H35" s="68">
        <f t="shared" si="7"/>
        <v>1.9272316968139667</v>
      </c>
      <c r="I35" s="68">
        <f t="shared" si="7"/>
        <v>1.6825839853448286</v>
      </c>
      <c r="J35" s="68">
        <f t="shared" si="7"/>
        <v>1.9271377681191486</v>
      </c>
      <c r="K35" s="68">
        <f t="shared" si="7"/>
        <v>2.0713002666800824</v>
      </c>
      <c r="L35" s="68">
        <f t="shared" si="7"/>
        <v>1.9465278326097946</v>
      </c>
      <c r="M35" s="68">
        <f t="shared" si="7"/>
        <v>1.5878357391384246</v>
      </c>
      <c r="N35" s="68">
        <f t="shared" si="7"/>
        <v>1.4221547148575231</v>
      </c>
      <c r="O35" s="68">
        <f t="shared" si="7"/>
        <v>1.2788011103835293</v>
      </c>
      <c r="P35" s="68">
        <f t="shared" si="7"/>
        <v>1.2554497451242188</v>
      </c>
      <c r="Q35" s="68">
        <f t="shared" si="7"/>
        <v>1.208790434358</v>
      </c>
      <c r="R35" s="68">
        <f t="shared" si="7"/>
        <v>1.10301162</v>
      </c>
      <c r="S35" s="68">
        <f t="shared" ref="S35:S44" si="8">B35*(1+S23/100)</f>
        <v>1.0354000000000001</v>
      </c>
      <c r="T35" s="67"/>
    </row>
    <row r="36" spans="1:20">
      <c r="A36" t="s">
        <v>576</v>
      </c>
      <c r="B36" s="1">
        <v>1</v>
      </c>
      <c r="C36" s="68">
        <f t="shared" ref="C36:R36" si="9">D36*(1+C24/100)</f>
        <v>1.9845760580670617</v>
      </c>
      <c r="D36" s="68">
        <f t="shared" si="9"/>
        <v>1.9483369900520928</v>
      </c>
      <c r="E36" s="68">
        <f t="shared" si="9"/>
        <v>1.9371017996143296</v>
      </c>
      <c r="F36" s="68">
        <f t="shared" si="9"/>
        <v>1.9384587207188329</v>
      </c>
      <c r="G36" s="68">
        <f t="shared" si="9"/>
        <v>1.9513375485391915</v>
      </c>
      <c r="H36" s="68">
        <f t="shared" si="9"/>
        <v>1.9574055056065718</v>
      </c>
      <c r="I36" s="68">
        <f t="shared" si="9"/>
        <v>1.9878191384244661</v>
      </c>
      <c r="J36" s="68">
        <f t="shared" si="9"/>
        <v>2.1506211602558327</v>
      </c>
      <c r="K36" s="68">
        <f t="shared" si="9"/>
        <v>2.1745411124932588</v>
      </c>
      <c r="L36" s="68">
        <f t="shared" si="9"/>
        <v>2.0753398668574716</v>
      </c>
      <c r="M36" s="68">
        <f t="shared" si="9"/>
        <v>1.8243142289534737</v>
      </c>
      <c r="N36" s="68">
        <f t="shared" si="9"/>
        <v>1.789245026435341</v>
      </c>
      <c r="O36" s="68">
        <f t="shared" si="9"/>
        <v>1.5161808545338031</v>
      </c>
      <c r="P36" s="68">
        <f t="shared" si="9"/>
        <v>1.3347837437571999</v>
      </c>
      <c r="Q36" s="68">
        <f t="shared" si="9"/>
        <v>1.1543576440000001</v>
      </c>
      <c r="R36" s="68">
        <f t="shared" si="9"/>
        <v>1.0713296000000001</v>
      </c>
      <c r="S36" s="68">
        <f t="shared" si="8"/>
        <v>1.0207999999999999</v>
      </c>
      <c r="T36" s="67"/>
    </row>
    <row r="37" spans="1:20">
      <c r="A37" t="s">
        <v>577</v>
      </c>
      <c r="B37" s="1">
        <v>1</v>
      </c>
      <c r="C37" s="68">
        <f t="shared" ref="C37:R37" si="10">D37*(1+C25/100)</f>
        <v>1.8348518693825042</v>
      </c>
      <c r="D37" s="68">
        <f t="shared" si="10"/>
        <v>1.7079511024690535</v>
      </c>
      <c r="E37" s="68">
        <f t="shared" si="10"/>
        <v>1.6138628956525121</v>
      </c>
      <c r="F37" s="68">
        <f t="shared" si="10"/>
        <v>1.5857943359069588</v>
      </c>
      <c r="G37" s="68">
        <f t="shared" si="10"/>
        <v>1.5749273372797288</v>
      </c>
      <c r="H37" s="68">
        <f t="shared" si="10"/>
        <v>1.4753417679435399</v>
      </c>
      <c r="I37" s="68">
        <f t="shared" si="10"/>
        <v>1.4799295495471361</v>
      </c>
      <c r="J37" s="68">
        <f t="shared" si="10"/>
        <v>1.9340427986763409</v>
      </c>
      <c r="K37" s="68">
        <f t="shared" si="10"/>
        <v>1.9551585105907208</v>
      </c>
      <c r="L37" s="68">
        <f t="shared" si="10"/>
        <v>1.7138486242906037</v>
      </c>
      <c r="M37" s="68">
        <f t="shared" si="10"/>
        <v>1.4989055661103758</v>
      </c>
      <c r="N37" s="68">
        <f t="shared" si="10"/>
        <v>1.3310590232753536</v>
      </c>
      <c r="O37" s="68">
        <f t="shared" si="10"/>
        <v>1.222388670470524</v>
      </c>
      <c r="P37" s="68">
        <f t="shared" si="10"/>
        <v>1.1613040760692799</v>
      </c>
      <c r="Q37" s="68">
        <f t="shared" si="10"/>
        <v>1.1764806767999998</v>
      </c>
      <c r="R37" s="68">
        <f t="shared" si="10"/>
        <v>1.1525084999999999</v>
      </c>
      <c r="S37" s="68">
        <f t="shared" si="8"/>
        <v>1.0746</v>
      </c>
      <c r="T37" s="67"/>
    </row>
    <row r="38" spans="1:20">
      <c r="A38" t="s">
        <v>584</v>
      </c>
      <c r="B38" s="1">
        <v>1</v>
      </c>
      <c r="C38" s="68">
        <f t="shared" ref="C38:R38" si="11">D38*(1+C26/100)</f>
        <v>1.6857170796437968</v>
      </c>
      <c r="D38" s="68">
        <f t="shared" si="11"/>
        <v>1.659170353980115</v>
      </c>
      <c r="E38" s="68">
        <f t="shared" si="11"/>
        <v>1.6193347198712815</v>
      </c>
      <c r="F38" s="68">
        <f t="shared" si="11"/>
        <v>1.5950893615753363</v>
      </c>
      <c r="G38" s="68">
        <f t="shared" si="11"/>
        <v>1.576486817133165</v>
      </c>
      <c r="H38" s="68">
        <f t="shared" si="11"/>
        <v>1.4711523116210945</v>
      </c>
      <c r="I38" s="68">
        <f t="shared" si="11"/>
        <v>1.4437216011983265</v>
      </c>
      <c r="J38" s="68">
        <f t="shared" si="11"/>
        <v>1.72014964994439</v>
      </c>
      <c r="K38" s="68">
        <f t="shared" si="11"/>
        <v>1.7506102686183493</v>
      </c>
      <c r="L38" s="68">
        <f t="shared" si="11"/>
        <v>1.6442286734463694</v>
      </c>
      <c r="M38" s="68">
        <f t="shared" si="11"/>
        <v>1.5115174420356401</v>
      </c>
      <c r="N38" s="68">
        <f t="shared" si="11"/>
        <v>1.3035941716564383</v>
      </c>
      <c r="O38" s="68">
        <f t="shared" si="11"/>
        <v>1.186811882425745</v>
      </c>
      <c r="P38" s="68">
        <f t="shared" si="11"/>
        <v>1.1078699227580691</v>
      </c>
      <c r="Q38" s="68">
        <f t="shared" si="11"/>
        <v>1.0698326251558561</v>
      </c>
      <c r="R38" s="68">
        <f t="shared" si="11"/>
        <v>1.0523719683554498</v>
      </c>
      <c r="S38" s="68">
        <f t="shared" si="8"/>
        <v>1.024328402366864</v>
      </c>
      <c r="T38" s="67"/>
    </row>
    <row r="39" spans="1:20">
      <c r="A39" t="s">
        <v>579</v>
      </c>
      <c r="B39" s="1">
        <v>1</v>
      </c>
      <c r="C39" s="68">
        <f t="shared" ref="C39:R39" si="12">D39*(1+C27/100)</f>
        <v>1.383546110447766</v>
      </c>
      <c r="D39" s="68">
        <f t="shared" si="12"/>
        <v>1.3377935703420674</v>
      </c>
      <c r="E39" s="68">
        <f t="shared" si="12"/>
        <v>1.4033290363391036</v>
      </c>
      <c r="F39" s="68">
        <f t="shared" si="12"/>
        <v>1.4456876855249856</v>
      </c>
      <c r="G39" s="68">
        <f t="shared" si="12"/>
        <v>1.4813891643867052</v>
      </c>
      <c r="H39" s="68">
        <f t="shared" si="12"/>
        <v>1.3305093985869456</v>
      </c>
      <c r="I39" s="68">
        <f t="shared" si="12"/>
        <v>1.3059573994767821</v>
      </c>
      <c r="J39" s="68">
        <f t="shared" si="12"/>
        <v>1.7254028266307069</v>
      </c>
      <c r="K39" s="68">
        <f t="shared" si="12"/>
        <v>1.8477220246634258</v>
      </c>
      <c r="L39" s="68">
        <f t="shared" si="12"/>
        <v>1.7484122110744</v>
      </c>
      <c r="M39" s="68">
        <f t="shared" si="12"/>
        <v>1.5081620038595704</v>
      </c>
      <c r="N39" s="68">
        <f t="shared" si="12"/>
        <v>1.2146923355827726</v>
      </c>
      <c r="O39" s="68">
        <f t="shared" si="12"/>
        <v>1.0223822368342501</v>
      </c>
      <c r="P39" s="68">
        <f t="shared" si="12"/>
        <v>0.99000894435387832</v>
      </c>
      <c r="Q39" s="68">
        <f t="shared" si="12"/>
        <v>1.1090052025919999</v>
      </c>
      <c r="R39" s="68">
        <f t="shared" si="12"/>
        <v>1.1372079599999998</v>
      </c>
      <c r="S39" s="68">
        <f t="shared" si="8"/>
        <v>1.0673999999999999</v>
      </c>
      <c r="T39" s="67"/>
    </row>
    <row r="40" spans="1:20">
      <c r="A40" t="s">
        <v>580</v>
      </c>
      <c r="B40" s="1">
        <v>1</v>
      </c>
      <c r="C40" s="68">
        <f t="shared" ref="C40:R40" si="13">D40*(1+C28/100)</f>
        <v>1.4687189262517644</v>
      </c>
      <c r="D40" s="68">
        <f t="shared" si="13"/>
        <v>1.4437421864265843</v>
      </c>
      <c r="E40" s="68">
        <f t="shared" si="13"/>
        <v>1.5197286172911413</v>
      </c>
      <c r="F40" s="68">
        <f t="shared" si="13"/>
        <v>1.557258548305299</v>
      </c>
      <c r="G40" s="68">
        <f t="shared" si="13"/>
        <v>1.5845121574127992</v>
      </c>
      <c r="H40" s="68">
        <f t="shared" si="13"/>
        <v>1.4783655135405851</v>
      </c>
      <c r="I40" s="68">
        <f t="shared" si="13"/>
        <v>1.4711568450000849</v>
      </c>
      <c r="J40" s="68">
        <f t="shared" si="13"/>
        <v>1.9321734239559825</v>
      </c>
      <c r="K40" s="68">
        <f t="shared" si="13"/>
        <v>1.9991447738809958</v>
      </c>
      <c r="L40" s="68">
        <f t="shared" si="13"/>
        <v>1.8313894960434187</v>
      </c>
      <c r="M40" s="68">
        <f t="shared" si="13"/>
        <v>1.6621796115841523</v>
      </c>
      <c r="N40" s="68">
        <f t="shared" si="13"/>
        <v>1.3411163559659127</v>
      </c>
      <c r="O40" s="68">
        <f t="shared" si="13"/>
        <v>1.1407930894572242</v>
      </c>
      <c r="P40" s="68">
        <f t="shared" si="13"/>
        <v>1.0821410448275699</v>
      </c>
      <c r="Q40" s="68">
        <f t="shared" si="13"/>
        <v>1.1545300808999999</v>
      </c>
      <c r="R40" s="68">
        <f t="shared" si="13"/>
        <v>1.1379165</v>
      </c>
      <c r="S40" s="68">
        <f t="shared" si="8"/>
        <v>1.0605</v>
      </c>
      <c r="T40" s="67"/>
    </row>
    <row r="41" spans="1:20">
      <c r="A41" t="s">
        <v>571</v>
      </c>
      <c r="B41" s="1">
        <v>1</v>
      </c>
      <c r="C41" s="68">
        <f t="shared" ref="C41:R41" si="14">D41*(1+C29/100)</f>
        <v>1.2546609999281888</v>
      </c>
      <c r="D41" s="68">
        <f t="shared" si="14"/>
        <v>1.2361192117519102</v>
      </c>
      <c r="E41" s="68">
        <f t="shared" si="14"/>
        <v>1.2959941410693125</v>
      </c>
      <c r="F41" s="68">
        <f t="shared" si="14"/>
        <v>1.3116022073366183</v>
      </c>
      <c r="G41" s="68">
        <f t="shared" si="14"/>
        <v>1.3213804224628432</v>
      </c>
      <c r="H41" s="68">
        <f t="shared" si="14"/>
        <v>1.2953440079039733</v>
      </c>
      <c r="I41" s="68">
        <f t="shared" si="14"/>
        <v>1.3227244030470473</v>
      </c>
      <c r="J41" s="68">
        <f t="shared" si="14"/>
        <v>1.800359878926157</v>
      </c>
      <c r="K41" s="68">
        <f t="shared" si="14"/>
        <v>1.8728387380902496</v>
      </c>
      <c r="L41" s="68">
        <f t="shared" si="14"/>
        <v>1.7394248519459921</v>
      </c>
      <c r="M41" s="68">
        <f t="shared" si="14"/>
        <v>1.5126748864649031</v>
      </c>
      <c r="N41" s="68">
        <f t="shared" si="14"/>
        <v>1.2411182199416666</v>
      </c>
      <c r="O41" s="68">
        <f t="shared" si="14"/>
        <v>1.1275717452000242</v>
      </c>
      <c r="P41" s="68">
        <f t="shared" si="14"/>
        <v>1.0523301401773442</v>
      </c>
      <c r="Q41" s="68">
        <f t="shared" si="14"/>
        <v>1.1260889675520003</v>
      </c>
      <c r="R41" s="68">
        <f t="shared" si="14"/>
        <v>1.1269905600000003</v>
      </c>
      <c r="S41" s="68">
        <f t="shared" si="8"/>
        <v>1.0596000000000001</v>
      </c>
      <c r="T41" s="67"/>
    </row>
    <row r="42" spans="1:20">
      <c r="A42" t="s">
        <v>585</v>
      </c>
      <c r="B42" s="1">
        <v>1</v>
      </c>
      <c r="C42" s="68">
        <f t="shared" ref="C42:R42" si="15">D42*(1+C30/100)</f>
        <v>1.1258611734248614</v>
      </c>
      <c r="D42" s="68">
        <f t="shared" si="15"/>
        <v>1.0866336969644448</v>
      </c>
      <c r="E42" s="68">
        <f t="shared" si="15"/>
        <v>1.0838157759469826</v>
      </c>
      <c r="F42" s="68">
        <f t="shared" si="15"/>
        <v>1.1387011724595322</v>
      </c>
      <c r="G42" s="68">
        <f t="shared" si="15"/>
        <v>1.1854061757854801</v>
      </c>
      <c r="H42" s="68">
        <f t="shared" si="15"/>
        <v>1.1412401807889478</v>
      </c>
      <c r="I42" s="68">
        <f t="shared" si="15"/>
        <v>1.0249126006187228</v>
      </c>
      <c r="J42" s="68">
        <f t="shared" si="15"/>
        <v>1.5536040633905153</v>
      </c>
      <c r="K42" s="68">
        <f t="shared" si="15"/>
        <v>1.6716204684640792</v>
      </c>
      <c r="L42" s="68">
        <f t="shared" si="15"/>
        <v>1.5021751154421992</v>
      </c>
      <c r="M42" s="68">
        <f t="shared" si="15"/>
        <v>1.3708478877917494</v>
      </c>
      <c r="N42" s="68">
        <f t="shared" si="15"/>
        <v>1.091961038546877</v>
      </c>
      <c r="O42" s="68">
        <f t="shared" si="15"/>
        <v>0.94673230323120949</v>
      </c>
      <c r="P42" s="68">
        <f t="shared" si="15"/>
        <v>0.90613734995330164</v>
      </c>
      <c r="Q42" s="68">
        <f t="shared" si="15"/>
        <v>0.96634035400800011</v>
      </c>
      <c r="R42" s="68">
        <f t="shared" si="15"/>
        <v>1.1421112800000002</v>
      </c>
      <c r="S42" s="68">
        <f t="shared" si="8"/>
        <v>1.0716000000000001</v>
      </c>
      <c r="T42" s="67"/>
    </row>
    <row r="43" spans="1:20">
      <c r="A43" t="s">
        <v>586</v>
      </c>
      <c r="B43" s="1">
        <v>1</v>
      </c>
      <c r="C43" s="68">
        <f t="shared" ref="C43:R43" si="16">D43*(1+C31/100)</f>
        <v>1.8434864270962275</v>
      </c>
      <c r="D43" s="68">
        <f t="shared" si="16"/>
        <v>1.7777111158112127</v>
      </c>
      <c r="E43" s="68">
        <f t="shared" si="16"/>
        <v>1.6888762263074413</v>
      </c>
      <c r="F43" s="68">
        <f t="shared" si="16"/>
        <v>1.6497765227190009</v>
      </c>
      <c r="G43" s="68">
        <f t="shared" si="16"/>
        <v>1.6306973635652871</v>
      </c>
      <c r="H43" s="68">
        <f t="shared" si="16"/>
        <v>1.579062035020129</v>
      </c>
      <c r="I43" s="68">
        <f t="shared" si="16"/>
        <v>1.5425046742406261</v>
      </c>
      <c r="J43" s="68">
        <f t="shared" si="16"/>
        <v>1.7697391856822235</v>
      </c>
      <c r="K43" s="68">
        <f t="shared" si="16"/>
        <v>1.8071471313001364</v>
      </c>
      <c r="L43" s="68">
        <f t="shared" si="16"/>
        <v>1.6790366359752265</v>
      </c>
      <c r="M43" s="68">
        <f t="shared" si="16"/>
        <v>1.5257034402319185</v>
      </c>
      <c r="N43" s="68">
        <f t="shared" si="16"/>
        <v>1.3599281934503242</v>
      </c>
      <c r="O43" s="68">
        <f t="shared" si="16"/>
        <v>1.2531590429877666</v>
      </c>
      <c r="P43" s="68">
        <f t="shared" si="16"/>
        <v>1.1917822567643999</v>
      </c>
      <c r="Q43" s="68">
        <f t="shared" si="16"/>
        <v>1.1243228837399999</v>
      </c>
      <c r="R43" s="68">
        <f t="shared" si="16"/>
        <v>1.0913636999999998</v>
      </c>
      <c r="S43" s="68">
        <f t="shared" si="8"/>
        <v>1.0262</v>
      </c>
      <c r="T43" s="67"/>
    </row>
    <row r="44" spans="1:20">
      <c r="A44" s="2" t="s">
        <v>648</v>
      </c>
      <c r="B44" s="1">
        <v>1</v>
      </c>
      <c r="C44" s="68">
        <f t="shared" ref="C44:R44" si="17">D44*(1+C32/100)</f>
        <v>1.7115758885690027</v>
      </c>
      <c r="D44" s="68">
        <f t="shared" si="17"/>
        <v>1.6638241358695467</v>
      </c>
      <c r="E44" s="68">
        <f t="shared" si="17"/>
        <v>1.6738673399090007</v>
      </c>
      <c r="F44" s="68">
        <f t="shared" si="17"/>
        <v>1.6755428827917924</v>
      </c>
      <c r="G44" s="68">
        <f t="shared" si="17"/>
        <v>1.6732004022286722</v>
      </c>
      <c r="H44" s="68">
        <f t="shared" si="17"/>
        <v>1.546253028582083</v>
      </c>
      <c r="I44" s="68">
        <f t="shared" si="17"/>
        <v>1.4906517194467201</v>
      </c>
      <c r="J44" s="68">
        <f t="shared" si="17"/>
        <v>1.8243198132991312</v>
      </c>
      <c r="K44" s="68">
        <f t="shared" si="17"/>
        <v>1.9104825775464773</v>
      </c>
      <c r="L44" s="68">
        <f t="shared" si="17"/>
        <v>1.785497736024745</v>
      </c>
      <c r="M44" s="68">
        <f t="shared" si="17"/>
        <v>1.5721561468915604</v>
      </c>
      <c r="N44" s="68">
        <f t="shared" si="17"/>
        <v>1.3478704963062076</v>
      </c>
      <c r="O44" s="68">
        <f t="shared" si="17"/>
        <v>1.1955565871085752</v>
      </c>
      <c r="P44" s="68">
        <f t="shared" si="17"/>
        <v>1.1524547783965442</v>
      </c>
      <c r="Q44" s="68">
        <f t="shared" si="17"/>
        <v>1.1195402937600001</v>
      </c>
      <c r="R44" s="68">
        <f t="shared" si="17"/>
        <v>1.1137488</v>
      </c>
      <c r="S44" s="68">
        <f t="shared" si="8"/>
        <v>1.0515000000000001</v>
      </c>
      <c r="T44" s="67"/>
    </row>
    <row r="46" spans="1:20">
      <c r="A46" s="2" t="s">
        <v>676</v>
      </c>
      <c r="C46" s="111">
        <v>0.18890000000000001</v>
      </c>
      <c r="D46" s="111">
        <v>0.1867</v>
      </c>
      <c r="E46" s="111">
        <v>0.19009999999999999</v>
      </c>
      <c r="F46" s="111">
        <v>0.2</v>
      </c>
      <c r="G46" s="111">
        <v>0.20499999999999999</v>
      </c>
      <c r="H46" s="111">
        <v>0.19600000000000001</v>
      </c>
      <c r="I46" s="111">
        <v>0.19700000000000001</v>
      </c>
      <c r="J46" s="111">
        <v>0.22700000000000001</v>
      </c>
      <c r="K46" s="111">
        <v>0.21099999999999999</v>
      </c>
      <c r="L46" s="111">
        <v>0.192</v>
      </c>
      <c r="M46" s="111">
        <v>0.17199999999999999</v>
      </c>
      <c r="N46" s="111">
        <v>0.17399999999999999</v>
      </c>
      <c r="O46" s="111">
        <v>0.182</v>
      </c>
      <c r="P46" s="111">
        <v>0.191</v>
      </c>
      <c r="Q46" s="111">
        <v>0.22</v>
      </c>
      <c r="R46" s="111">
        <v>0.248</v>
      </c>
      <c r="S46" s="111">
        <v>0.254</v>
      </c>
    </row>
    <row r="47" spans="1:20">
      <c r="A47" t="s">
        <v>674</v>
      </c>
      <c r="C47" s="75">
        <f>231053798265/1000000</f>
        <v>231053.79826499999</v>
      </c>
      <c r="D47" s="75">
        <f>224319188163/1000000</f>
        <v>224319.18816300001</v>
      </c>
      <c r="E47" s="75">
        <f>216832912747/1000000</f>
        <v>216832.91274699999</v>
      </c>
    </row>
    <row r="48" spans="1:20">
      <c r="D48" s="75"/>
    </row>
  </sheetData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2"/>
  <dimension ref="A1:U81"/>
  <sheetViews>
    <sheetView workbookViewId="0">
      <pane xSplit="1" ySplit="7" topLeftCell="B8" activePane="bottomRight" state="frozen"/>
      <selection pane="topRight" activeCell="B1" sqref="B1"/>
      <selection pane="bottomLeft" activeCell="A7" sqref="A7"/>
      <selection pane="bottomRight" activeCell="A5" sqref="A5"/>
    </sheetView>
  </sheetViews>
  <sheetFormatPr defaultRowHeight="15"/>
  <cols>
    <col min="1" max="1" width="54" customWidth="1"/>
    <col min="2" max="4" width="14.7109375" customWidth="1"/>
    <col min="5" max="5" width="15" customWidth="1"/>
    <col min="6" max="21" width="14.7109375" customWidth="1"/>
  </cols>
  <sheetData>
    <row r="1" spans="1:21">
      <c r="A1" t="s">
        <v>687</v>
      </c>
    </row>
    <row r="2" spans="1:21">
      <c r="A2" s="113" t="s">
        <v>587</v>
      </c>
      <c r="C2" s="143" t="s">
        <v>588</v>
      </c>
      <c r="D2" s="113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  <c r="S2" s="115" t="s">
        <v>512</v>
      </c>
    </row>
    <row r="3" spans="1:21">
      <c r="A3" s="126" t="s">
        <v>604</v>
      </c>
      <c r="B3" s="126"/>
      <c r="C3" s="126"/>
      <c r="D3" s="126"/>
      <c r="S3" s="116" t="s">
        <v>589</v>
      </c>
    </row>
    <row r="4" spans="1:21">
      <c r="A4" s="113"/>
      <c r="B4" s="113"/>
      <c r="C4" s="113"/>
      <c r="D4" s="113"/>
      <c r="F4" s="117"/>
      <c r="G4" s="117"/>
      <c r="H4" s="117"/>
      <c r="I4" s="118"/>
      <c r="J4" s="118"/>
      <c r="K4" s="118"/>
      <c r="L4" s="118"/>
      <c r="M4" s="118"/>
      <c r="N4" s="118"/>
      <c r="O4" s="118"/>
      <c r="P4" s="118"/>
      <c r="Q4" s="118"/>
      <c r="R4" s="118"/>
      <c r="T4" s="118"/>
      <c r="U4" s="118"/>
    </row>
    <row r="5" spans="1:21">
      <c r="A5" s="113" t="s">
        <v>590</v>
      </c>
      <c r="B5" s="113" t="s">
        <v>564</v>
      </c>
      <c r="C5" s="113" t="s">
        <v>564</v>
      </c>
      <c r="D5" s="113" t="s">
        <v>564</v>
      </c>
      <c r="E5" s="113" t="s">
        <v>564</v>
      </c>
      <c r="F5" s="113" t="s">
        <v>564</v>
      </c>
      <c r="G5" s="113" t="s">
        <v>591</v>
      </c>
      <c r="H5" s="113" t="s">
        <v>591</v>
      </c>
      <c r="I5" s="113" t="s">
        <v>591</v>
      </c>
      <c r="J5" s="113" t="s">
        <v>591</v>
      </c>
      <c r="K5" s="113" t="s">
        <v>591</v>
      </c>
      <c r="L5" s="113" t="s">
        <v>591</v>
      </c>
      <c r="M5" s="113" t="s">
        <v>591</v>
      </c>
      <c r="N5" s="113" t="s">
        <v>591</v>
      </c>
      <c r="O5" s="113" t="s">
        <v>591</v>
      </c>
      <c r="P5" s="113" t="s">
        <v>591</v>
      </c>
      <c r="Q5" s="113" t="s">
        <v>591</v>
      </c>
      <c r="R5" s="113" t="s">
        <v>591</v>
      </c>
      <c r="S5" s="113" t="s">
        <v>591</v>
      </c>
      <c r="T5" s="113" t="s">
        <v>591</v>
      </c>
    </row>
    <row r="6" spans="1:21">
      <c r="B6" t="s">
        <v>329</v>
      </c>
      <c r="C6" s="114" t="s">
        <v>593</v>
      </c>
      <c r="D6" s="114" t="s">
        <v>592</v>
      </c>
      <c r="E6" s="114" t="s">
        <v>593</v>
      </c>
      <c r="F6" s="114" t="s">
        <v>1</v>
      </c>
      <c r="G6" s="114" t="s">
        <v>1</v>
      </c>
      <c r="H6" s="114" t="s">
        <v>1</v>
      </c>
      <c r="I6" s="114" t="s">
        <v>1</v>
      </c>
      <c r="J6" s="114" t="s">
        <v>1</v>
      </c>
      <c r="K6" s="114" t="s">
        <v>1</v>
      </c>
      <c r="L6" s="114" t="s">
        <v>1</v>
      </c>
      <c r="M6" s="114" t="s">
        <v>1</v>
      </c>
      <c r="N6" s="114" t="s">
        <v>1</v>
      </c>
      <c r="O6" s="114" t="s">
        <v>1</v>
      </c>
      <c r="P6" s="114" t="s">
        <v>1</v>
      </c>
      <c r="Q6" s="114" t="s">
        <v>1</v>
      </c>
      <c r="R6" s="114" t="s">
        <v>1</v>
      </c>
      <c r="S6" s="114" t="s">
        <v>1</v>
      </c>
      <c r="T6" s="114" t="s">
        <v>1</v>
      </c>
    </row>
    <row r="7" spans="1:21">
      <c r="A7" s="119"/>
      <c r="B7" s="120">
        <v>2017</v>
      </c>
      <c r="C7" s="120">
        <v>2016</v>
      </c>
      <c r="D7" s="120">
        <v>2016</v>
      </c>
      <c r="E7" s="120">
        <v>2015</v>
      </c>
      <c r="F7" s="120">
        <v>2014</v>
      </c>
      <c r="G7" s="120">
        <v>2013</v>
      </c>
      <c r="H7" s="120">
        <v>2012</v>
      </c>
      <c r="I7" s="120">
        <v>2011</v>
      </c>
      <c r="J7" s="120">
        <v>2010</v>
      </c>
      <c r="K7" s="120">
        <v>2009</v>
      </c>
      <c r="L7" s="120">
        <v>2008</v>
      </c>
      <c r="M7" s="120">
        <v>2007</v>
      </c>
      <c r="N7" s="120">
        <v>2006</v>
      </c>
      <c r="O7" s="120">
        <v>2005</v>
      </c>
      <c r="P7" s="120">
        <v>2004</v>
      </c>
      <c r="Q7" s="120">
        <v>2003</v>
      </c>
      <c r="R7" s="120">
        <v>2002</v>
      </c>
      <c r="S7" s="120">
        <v>2001</v>
      </c>
      <c r="T7" s="121">
        <v>2000</v>
      </c>
    </row>
    <row r="8" spans="1:21">
      <c r="A8" s="114" t="s">
        <v>597</v>
      </c>
      <c r="B8" s="4">
        <f>'[5]Positions 2000-2016'!D123</f>
        <v>23443.899999999998</v>
      </c>
      <c r="C8" s="4"/>
      <c r="D8" s="4">
        <f>'[5]Positions 2000-2016'!E123</f>
        <v>23447.399999999998</v>
      </c>
      <c r="E8" s="4">
        <f>'[5]Positions 2000-2016'!E123</f>
        <v>23447.399999999998</v>
      </c>
      <c r="F8" s="4">
        <v>23831.199999999993</v>
      </c>
      <c r="G8" s="4">
        <v>23837.7</v>
      </c>
      <c r="H8">
        <v>22780.1</v>
      </c>
      <c r="I8">
        <v>22149.7</v>
      </c>
      <c r="J8">
        <v>22074.5</v>
      </c>
      <c r="K8">
        <v>22311.200000000001</v>
      </c>
      <c r="L8" s="122">
        <v>22469.1</v>
      </c>
      <c r="M8" s="122">
        <v>22206.7</v>
      </c>
      <c r="N8" s="122">
        <v>22074.5</v>
      </c>
      <c r="O8" s="122">
        <v>21716.1</v>
      </c>
      <c r="P8" s="122">
        <v>21296.9</v>
      </c>
      <c r="Q8" s="122">
        <v>20776.3</v>
      </c>
      <c r="R8" s="122">
        <v>20537.5</v>
      </c>
      <c r="S8" s="122">
        <v>19826.900000000001</v>
      </c>
      <c r="T8">
        <v>18766.599999999999</v>
      </c>
    </row>
    <row r="9" spans="1:21">
      <c r="A9" s="114" t="s">
        <v>598</v>
      </c>
      <c r="B9" s="114"/>
      <c r="C9" s="114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</row>
    <row r="10" spans="1:21">
      <c r="A10" s="114" t="s">
        <v>594</v>
      </c>
      <c r="B10" s="75"/>
      <c r="C10" s="75"/>
      <c r="D10" s="75">
        <f>E10+E10-F10</f>
        <v>1107702.8</v>
      </c>
      <c r="E10" s="75">
        <v>1103253</v>
      </c>
      <c r="F10" s="75">
        <v>1098803.2</v>
      </c>
      <c r="G10" s="75">
        <v>1094353.3999999999</v>
      </c>
      <c r="H10" s="75">
        <v>1089903.6000000001</v>
      </c>
      <c r="I10" s="75">
        <v>1085453.8</v>
      </c>
      <c r="J10" s="75">
        <v>1081004</v>
      </c>
      <c r="K10" s="75">
        <v>1051990</v>
      </c>
      <c r="L10" s="75">
        <v>1045694</v>
      </c>
      <c r="M10" s="75">
        <v>1041507</v>
      </c>
      <c r="N10" s="75">
        <v>1037311</v>
      </c>
      <c r="O10" s="75">
        <v>1033646</v>
      </c>
      <c r="P10" s="75">
        <v>1022298</v>
      </c>
      <c r="Q10" s="75">
        <v>1012090</v>
      </c>
      <c r="R10" s="75">
        <v>1004435</v>
      </c>
      <c r="S10" s="75">
        <v>984366</v>
      </c>
      <c r="T10" s="75">
        <v>969749</v>
      </c>
    </row>
    <row r="11" spans="1:21">
      <c r="A11" s="114" t="s">
        <v>595</v>
      </c>
      <c r="B11" s="123"/>
      <c r="C11" s="123"/>
      <c r="D11" s="123">
        <v>410954</v>
      </c>
      <c r="E11" s="123">
        <v>410954</v>
      </c>
      <c r="F11" s="124">
        <v>408040.4</v>
      </c>
      <c r="G11" s="125">
        <v>405126.8</v>
      </c>
      <c r="H11" s="125">
        <v>402213.2</v>
      </c>
      <c r="I11" s="125">
        <v>399299.6</v>
      </c>
      <c r="J11" s="75">
        <v>396386</v>
      </c>
      <c r="K11">
        <v>394556</v>
      </c>
      <c r="L11">
        <v>391700</v>
      </c>
      <c r="M11">
        <v>391138</v>
      </c>
      <c r="N11">
        <v>388820</v>
      </c>
      <c r="O11">
        <v>385634</v>
      </c>
      <c r="P11">
        <v>378639</v>
      </c>
      <c r="Q11">
        <v>373902</v>
      </c>
      <c r="R11">
        <v>370551</v>
      </c>
      <c r="S11">
        <v>363333</v>
      </c>
      <c r="T11">
        <v>358960</v>
      </c>
    </row>
    <row r="12" spans="1:21">
      <c r="A12" s="114" t="s">
        <v>596</v>
      </c>
      <c r="B12">
        <f>'Rev and Major Expenditures'!D3</f>
        <v>247.05904070392211</v>
      </c>
      <c r="D12">
        <f>'Rev and Major Expenditures'!F3</f>
        <v>244.6129115880417</v>
      </c>
      <c r="E12">
        <f>'Rev and Major Expenditures'!I3</f>
        <v>240.6423134166667</v>
      </c>
      <c r="F12">
        <f>'Rev and Major Expenditures'!J3</f>
        <v>236.73616666666669</v>
      </c>
      <c r="G12" s="69">
        <v>232.80165860089542</v>
      </c>
      <c r="H12" s="69">
        <v>229.5939166666667</v>
      </c>
      <c r="I12" s="69">
        <v>224.93916666666667</v>
      </c>
      <c r="J12" s="69">
        <v>218.05600000000001</v>
      </c>
      <c r="K12">
        <v>214.53700000000001</v>
      </c>
      <c r="L12">
        <v>215.303</v>
      </c>
      <c r="M12">
        <v>207.34200000000001</v>
      </c>
      <c r="N12">
        <v>201.6</v>
      </c>
      <c r="O12">
        <v>195.3</v>
      </c>
      <c r="P12">
        <v>188.9</v>
      </c>
      <c r="Q12">
        <v>184</v>
      </c>
      <c r="R12">
        <v>179.9</v>
      </c>
      <c r="S12">
        <v>177.1</v>
      </c>
      <c r="T12">
        <v>172.2</v>
      </c>
    </row>
    <row r="13" spans="1:21">
      <c r="A13" s="114" t="s">
        <v>600</v>
      </c>
      <c r="B13" s="114"/>
      <c r="C13" s="114"/>
      <c r="D13" s="3">
        <v>2561704858</v>
      </c>
      <c r="E13" s="3">
        <f>'[5]Budget summary'!C21</f>
        <v>2574845373</v>
      </c>
      <c r="F13" s="3">
        <v>2440225955</v>
      </c>
      <c r="G13" s="3">
        <f>'[5]Budget summary'!E21</f>
        <v>2440217319</v>
      </c>
      <c r="H13" s="3">
        <f>'[5]Budget summary'!F21</f>
        <v>2385624626</v>
      </c>
      <c r="I13" s="3">
        <f>'[5]Budget summary'!G21</f>
        <v>2214486240</v>
      </c>
      <c r="J13" s="3">
        <f>'[5]Budget summary'!H21</f>
        <v>2122771183</v>
      </c>
      <c r="K13" s="3">
        <f>'[5]Budget summary'!I21</f>
        <v>2096962301</v>
      </c>
      <c r="L13" s="3">
        <f>'[5]Budget summary'!J21</f>
        <v>2176658357</v>
      </c>
      <c r="M13" s="3">
        <f>'[5]Budget summary'!K21</f>
        <v>2144142325</v>
      </c>
      <c r="N13" s="3">
        <f>'[5]Budget summary'!L21</f>
        <v>2038808801</v>
      </c>
      <c r="O13" s="3">
        <f>'[5]Budget summary'!M21</f>
        <v>1908812454</v>
      </c>
      <c r="P13" s="3">
        <f>'[5]Budget summary'!N21</f>
        <v>1765819084</v>
      </c>
      <c r="Q13" s="3">
        <f>'[5]Budget summary'!O21</f>
        <v>1629074911</v>
      </c>
      <c r="R13" s="3">
        <f>'[5]Budget summary'!P21</f>
        <v>1574341900</v>
      </c>
      <c r="S13" s="3">
        <f>'[5]Budget summary'!Q21</f>
        <v>1442864500</v>
      </c>
      <c r="T13" s="3">
        <f>'[5]Budget summary'!R21</f>
        <v>1374687500</v>
      </c>
    </row>
    <row r="14" spans="1:21">
      <c r="A14" s="114" t="s">
        <v>607</v>
      </c>
      <c r="B14" s="3">
        <f>'GenFund Statement'!D106-'GenFund Statement'!D59</f>
        <v>2108338930</v>
      </c>
      <c r="C14" s="3">
        <f>'GenFund Statement'!E106-'GenFund Statement'!E59</f>
        <v>1994394875</v>
      </c>
      <c r="D14" s="3">
        <f>'GenFund Statement'!F106-'GenFund Statement'!F59</f>
        <v>1988325108</v>
      </c>
      <c r="E14" s="3">
        <f>'GenFund Statement'!H106-'GenFund Statement'!H59</f>
        <v>2011667232</v>
      </c>
      <c r="F14" s="3">
        <f>'GenFund Statement'!J106-'GenFund Statement'!J59</f>
        <v>1919406040</v>
      </c>
      <c r="G14" s="3">
        <f>'GenFund Statement'!L106-'GenFund Statement'!L59</f>
        <v>1848174985</v>
      </c>
      <c r="H14" s="3">
        <f>'GenFund Statement'!M106-'GenFund Statement'!M59</f>
        <v>1802543584</v>
      </c>
      <c r="I14" s="3">
        <f>'GenFund Statement'!N106-'GenFund Statement'!N59</f>
        <v>1721519972</v>
      </c>
      <c r="J14" s="3">
        <f>'GenFund Statement'!O106-'GenFund Statement'!O59</f>
        <v>1681239585</v>
      </c>
      <c r="K14" s="3">
        <f>'GenFund Statement'!P106-'GenFund Statement'!P59</f>
        <v>1726055484</v>
      </c>
      <c r="L14" s="3">
        <f>'GenFund Statement'!Q106-'GenFund Statement'!Q59</f>
        <v>1734345398</v>
      </c>
      <c r="M14" s="3">
        <f>'GenFund Statement'!R106-'GenFund Statement'!R59</f>
        <v>1690486983</v>
      </c>
      <c r="N14" s="3">
        <f>'GenFund Statement'!S106-'GenFund Statement'!S59</f>
        <v>1682559606</v>
      </c>
      <c r="O14" s="3">
        <f>'GenFund Statement'!T106-'GenFund Statement'!T59</f>
        <v>1487505880</v>
      </c>
      <c r="P14" s="3">
        <f>'GenFund Statement'!U106-'GenFund Statement'!U59</f>
        <v>1359011461</v>
      </c>
      <c r="Q14" s="3">
        <f>'GenFund Statement'!V106-'GenFund Statement'!V59</f>
        <v>1279529145</v>
      </c>
      <c r="R14" s="3">
        <f>'GenFund Statement'!W106-'GenFund Statement'!W59</f>
        <v>1214616020</v>
      </c>
      <c r="S14" s="3">
        <f>'GenFund Statement'!X106-'GenFund Statement'!X59</f>
        <v>1164978719</v>
      </c>
      <c r="T14" s="3">
        <f>'GenFund Statement'!Y106-'GenFund Statement'!Y59</f>
        <v>1103128205</v>
      </c>
    </row>
    <row r="15" spans="1:21">
      <c r="A15" s="114" t="s">
        <v>602</v>
      </c>
      <c r="B15" s="114"/>
      <c r="C15" s="114"/>
      <c r="D15" s="3">
        <f>D13+D14</f>
        <v>4550029966</v>
      </c>
      <c r="E15" s="3">
        <f>E13+E14</f>
        <v>4586512605</v>
      </c>
      <c r="F15" s="3">
        <f>F13+E14</f>
        <v>4451893187</v>
      </c>
      <c r="G15" s="3">
        <f>G13+F14</f>
        <v>4359623359</v>
      </c>
      <c r="H15" s="3">
        <f>H13+G14</f>
        <v>4233799611</v>
      </c>
      <c r="I15" s="3">
        <f t="shared" ref="I15:T15" si="0">I13+I14</f>
        <v>3936006212</v>
      </c>
      <c r="J15" s="3">
        <f t="shared" si="0"/>
        <v>3804010768</v>
      </c>
      <c r="K15" s="3">
        <f t="shared" si="0"/>
        <v>3823017785</v>
      </c>
      <c r="L15" s="3">
        <f t="shared" si="0"/>
        <v>3911003755</v>
      </c>
      <c r="M15" s="3">
        <f t="shared" si="0"/>
        <v>3834629308</v>
      </c>
      <c r="N15" s="3">
        <f t="shared" si="0"/>
        <v>3721368407</v>
      </c>
      <c r="O15" s="3">
        <f t="shared" si="0"/>
        <v>3396318334</v>
      </c>
      <c r="P15" s="3">
        <f t="shared" si="0"/>
        <v>3124830545</v>
      </c>
      <c r="Q15" s="3">
        <f t="shared" si="0"/>
        <v>2908604056</v>
      </c>
      <c r="R15" s="3">
        <f t="shared" si="0"/>
        <v>2788957920</v>
      </c>
      <c r="S15" s="3">
        <f t="shared" si="0"/>
        <v>2607843219</v>
      </c>
      <c r="T15" s="3">
        <f t="shared" si="0"/>
        <v>2477815705</v>
      </c>
    </row>
    <row r="16" spans="1:21">
      <c r="A16" s="114" t="s">
        <v>601</v>
      </c>
      <c r="B16" s="114"/>
      <c r="C16" s="114"/>
    </row>
    <row r="17" spans="1:20">
      <c r="A17" s="114" t="s">
        <v>603</v>
      </c>
      <c r="B17" s="114"/>
      <c r="C17" s="114"/>
    </row>
    <row r="18" spans="1:20">
      <c r="A18" s="114" t="s">
        <v>611</v>
      </c>
      <c r="B18" s="114"/>
      <c r="C18" s="114"/>
    </row>
    <row r="19" spans="1:20">
      <c r="A19" s="114" t="s">
        <v>612</v>
      </c>
      <c r="B19" s="114"/>
      <c r="C19" s="114"/>
    </row>
    <row r="20" spans="1:20">
      <c r="A20" s="114" t="s">
        <v>608</v>
      </c>
      <c r="B20" s="114"/>
      <c r="C20" s="114"/>
      <c r="D20" s="3">
        <v>115902.67511621205</v>
      </c>
      <c r="E20" s="3">
        <v>114077.43613800398</v>
      </c>
      <c r="F20" s="3">
        <v>112556.07669478602</v>
      </c>
      <c r="G20" s="127">
        <v>111100</v>
      </c>
      <c r="H20" s="127">
        <v>107100</v>
      </c>
      <c r="I20" s="127">
        <v>105800</v>
      </c>
      <c r="J20" s="127">
        <v>103000</v>
      </c>
      <c r="K20" s="127">
        <v>102500</v>
      </c>
      <c r="L20" s="127">
        <v>107400</v>
      </c>
      <c r="M20" s="127">
        <v>105200</v>
      </c>
      <c r="N20" s="127">
        <v>100300</v>
      </c>
      <c r="O20" s="127">
        <v>94600</v>
      </c>
      <c r="P20" s="127">
        <v>88100</v>
      </c>
      <c r="Q20" s="127">
        <v>80800</v>
      </c>
      <c r="R20" s="127">
        <v>85300</v>
      </c>
      <c r="S20" s="127">
        <v>84700</v>
      </c>
      <c r="T20" s="127">
        <v>82000</v>
      </c>
    </row>
    <row r="21" spans="1:20">
      <c r="A21" s="114" t="s">
        <v>609</v>
      </c>
      <c r="B21" s="114"/>
      <c r="C21" s="114"/>
      <c r="D21" s="76">
        <v>143654.62791381602</v>
      </c>
      <c r="E21" s="76">
        <v>142070.11046950368</v>
      </c>
      <c r="F21" s="76">
        <v>140503.07032869206</v>
      </c>
      <c r="G21" s="76">
        <v>138989</v>
      </c>
      <c r="H21" s="76">
        <v>138039</v>
      </c>
      <c r="I21" s="76">
        <v>133981</v>
      </c>
      <c r="J21" s="76">
        <v>130863.584070796</v>
      </c>
    </row>
    <row r="23" spans="1:20">
      <c r="A23" s="140" t="s">
        <v>599</v>
      </c>
      <c r="B23" s="140"/>
      <c r="C23" s="140"/>
    </row>
    <row r="24" spans="1:20">
      <c r="A24" s="114" t="s">
        <v>605</v>
      </c>
      <c r="B24" s="114"/>
      <c r="C24" s="114"/>
      <c r="D24" s="128">
        <f>D15/D11</f>
        <v>11071.871708269053</v>
      </c>
      <c r="E24" s="128">
        <f t="shared" ref="E24:T24" si="1">E15/E11</f>
        <v>11160.647189223124</v>
      </c>
      <c r="F24" s="128">
        <f t="shared" si="1"/>
        <v>10910.422563550079</v>
      </c>
      <c r="G24" s="128">
        <f t="shared" si="1"/>
        <v>10761.132956397849</v>
      </c>
      <c r="H24" s="128">
        <f t="shared" si="1"/>
        <v>10526.257246157013</v>
      </c>
      <c r="I24" s="128">
        <f t="shared" si="1"/>
        <v>9857.2756196099381</v>
      </c>
      <c r="J24" s="128">
        <f t="shared" si="1"/>
        <v>9596.7334063261569</v>
      </c>
      <c r="K24" s="128">
        <f t="shared" si="1"/>
        <v>9689.4174337736604</v>
      </c>
      <c r="L24" s="128">
        <f t="shared" si="1"/>
        <v>9984.6917411284139</v>
      </c>
      <c r="M24" s="128">
        <f t="shared" si="1"/>
        <v>9803.7759256323861</v>
      </c>
      <c r="N24" s="128">
        <f t="shared" si="1"/>
        <v>9570.9284681857935</v>
      </c>
      <c r="O24" s="128">
        <f t="shared" si="1"/>
        <v>8807.102936981697</v>
      </c>
      <c r="P24" s="128">
        <f t="shared" si="1"/>
        <v>8252.7963178647733</v>
      </c>
      <c r="Q24" s="128">
        <f t="shared" si="1"/>
        <v>7779.054554401956</v>
      </c>
      <c r="R24" s="128">
        <f t="shared" si="1"/>
        <v>7526.5157022919921</v>
      </c>
      <c r="S24" s="128">
        <f t="shared" si="1"/>
        <v>7177.5567289511273</v>
      </c>
      <c r="T24" s="128">
        <f t="shared" si="1"/>
        <v>6902.7627172944058</v>
      </c>
    </row>
    <row r="25" spans="1:20">
      <c r="A25" s="114" t="s">
        <v>606</v>
      </c>
      <c r="B25" s="114"/>
      <c r="C25" s="114"/>
      <c r="D25" s="1">
        <f>D24/D20</f>
        <v>9.5527318046521592E-2</v>
      </c>
      <c r="E25" s="1">
        <f>E24/E20</f>
        <v>9.7833958818303465E-2</v>
      </c>
      <c r="F25" s="1">
        <f>F24/F20</f>
        <v>9.6933216614643131E-2</v>
      </c>
      <c r="G25" s="1">
        <f>G24/G20</f>
        <v>9.6859882595840219E-2</v>
      </c>
      <c r="H25" s="1">
        <f t="shared" ref="H25:T25" si="2">H24/H20</f>
        <v>9.8284381383352118E-2</v>
      </c>
      <c r="I25" s="1">
        <f t="shared" si="2"/>
        <v>9.316895670708826E-2</v>
      </c>
      <c r="J25" s="1">
        <f t="shared" si="2"/>
        <v>9.317216899345783E-2</v>
      </c>
      <c r="K25" s="1">
        <f t="shared" si="2"/>
        <v>9.4530901792913763E-2</v>
      </c>
      <c r="L25" s="1">
        <f t="shared" si="2"/>
        <v>9.296733464737815E-2</v>
      </c>
      <c r="M25" s="1">
        <f t="shared" si="2"/>
        <v>9.3191786365326865E-2</v>
      </c>
      <c r="N25" s="1">
        <f t="shared" si="2"/>
        <v>9.5423015634953076E-2</v>
      </c>
      <c r="O25" s="1">
        <f t="shared" si="2"/>
        <v>9.3098339714394254E-2</v>
      </c>
      <c r="P25" s="1">
        <f t="shared" si="2"/>
        <v>9.3675327104026943E-2</v>
      </c>
      <c r="Q25" s="1">
        <f t="shared" si="2"/>
        <v>9.6275427653489551E-2</v>
      </c>
      <c r="R25" s="1">
        <f t="shared" si="2"/>
        <v>8.8235823004595454E-2</v>
      </c>
      <c r="S25" s="1">
        <f t="shared" si="2"/>
        <v>8.4740929503555218E-2</v>
      </c>
      <c r="T25" s="1">
        <f t="shared" si="2"/>
        <v>8.4180033137736657E-2</v>
      </c>
    </row>
    <row r="27" spans="1:20">
      <c r="E27" s="3"/>
    </row>
    <row r="29" spans="1:20">
      <c r="F29" s="3"/>
    </row>
    <row r="35" spans="1:12">
      <c r="I35" s="114"/>
    </row>
    <row r="40" spans="1:12" ht="15.75" thickBot="1"/>
    <row r="41" spans="1:12" ht="15.75" thickBot="1">
      <c r="L41" s="132"/>
    </row>
    <row r="42" spans="1:12" ht="60.75" thickBot="1">
      <c r="A42" s="146" t="s">
        <v>686</v>
      </c>
      <c r="B42" t="s">
        <v>613</v>
      </c>
      <c r="C42" s="131" t="s">
        <v>614</v>
      </c>
      <c r="D42" s="131" t="s">
        <v>615</v>
      </c>
      <c r="E42" s="131" t="s">
        <v>616</v>
      </c>
      <c r="F42" s="131" t="s">
        <v>617</v>
      </c>
      <c r="G42" s="131" t="s">
        <v>620</v>
      </c>
      <c r="H42" t="s">
        <v>618</v>
      </c>
      <c r="I42" s="131" t="s">
        <v>619</v>
      </c>
    </row>
    <row r="43" spans="1:12" ht="15.75" thickBot="1">
      <c r="A43">
        <v>1981</v>
      </c>
      <c r="B43" s="112">
        <v>1.54</v>
      </c>
      <c r="C43" s="129">
        <v>77795</v>
      </c>
      <c r="D43">
        <f>B43*C43/100</f>
        <v>1198.0430000000001</v>
      </c>
      <c r="E43" s="112">
        <v>90.9</v>
      </c>
      <c r="F43" s="48">
        <f t="shared" ref="F43:F79" si="3">D43/E43*$E$76</f>
        <v>3120.1331938595531</v>
      </c>
      <c r="G43" s="48">
        <f>F43*30</f>
        <v>93603.995815786591</v>
      </c>
      <c r="H43" s="134">
        <v>37614.388489208635</v>
      </c>
      <c r="I43" s="64">
        <f t="shared" ref="I43:I79" si="4">H43/E43*$E$76</f>
        <v>97961.343701276608</v>
      </c>
      <c r="K43" s="3"/>
    </row>
    <row r="44" spans="1:12" ht="15.75" thickBot="1">
      <c r="A44">
        <v>1982</v>
      </c>
      <c r="B44" s="112">
        <v>1.51</v>
      </c>
      <c r="C44" s="129">
        <v>89455</v>
      </c>
      <c r="D44">
        <f t="shared" ref="D44:D79" si="5">B44*C44/100</f>
        <v>1350.7704999999999</v>
      </c>
      <c r="E44" s="112">
        <v>96.5</v>
      </c>
      <c r="F44" s="48">
        <f t="shared" si="3"/>
        <v>3313.7433183048361</v>
      </c>
      <c r="G44" s="48">
        <f>F44*30</f>
        <v>99412.299549145086</v>
      </c>
      <c r="H44" s="134">
        <v>40107.194244604318</v>
      </c>
      <c r="I44" s="64">
        <f t="shared" si="4"/>
        <v>98391.952551533919</v>
      </c>
      <c r="K44" s="64"/>
    </row>
    <row r="45" spans="1:12" ht="15.75" thickBot="1">
      <c r="A45">
        <v>1983</v>
      </c>
      <c r="B45" s="112">
        <v>1.47</v>
      </c>
      <c r="C45" s="129">
        <v>99045</v>
      </c>
      <c r="D45">
        <f t="shared" si="5"/>
        <v>1455.9614999999999</v>
      </c>
      <c r="E45" s="112">
        <v>99.6</v>
      </c>
      <c r="F45" s="48">
        <f t="shared" si="3"/>
        <v>3460.6299630948802</v>
      </c>
      <c r="G45" s="48">
        <f>F45*30</f>
        <v>103818.89889284641</v>
      </c>
      <c r="H45" s="134">
        <v>42600</v>
      </c>
      <c r="I45" s="64">
        <f t="shared" si="4"/>
        <v>101254.62550200806</v>
      </c>
      <c r="K45" s="3"/>
    </row>
    <row r="46" spans="1:12" ht="15.75" thickBot="1">
      <c r="A46">
        <v>1984</v>
      </c>
      <c r="B46" s="112">
        <v>1.47</v>
      </c>
      <c r="C46" s="129">
        <v>100207</v>
      </c>
      <c r="D46">
        <f t="shared" si="5"/>
        <v>1473.0429000000001</v>
      </c>
      <c r="E46" s="112">
        <v>103.9</v>
      </c>
      <c r="F46" s="48">
        <f t="shared" si="3"/>
        <v>3356.3284839417715</v>
      </c>
      <c r="G46" s="48">
        <f t="shared" ref="G46:G79" si="6">F46*30</f>
        <v>100689.85451825315</v>
      </c>
      <c r="H46" s="133">
        <v>46150</v>
      </c>
      <c r="I46" s="64">
        <f t="shared" si="4"/>
        <v>105152.78240295156</v>
      </c>
      <c r="K46" s="64"/>
    </row>
    <row r="47" spans="1:12" ht="15.75" thickBot="1">
      <c r="A47">
        <v>1985</v>
      </c>
      <c r="B47" s="112">
        <v>1.46</v>
      </c>
      <c r="C47" s="129">
        <v>102090</v>
      </c>
      <c r="D47">
        <f t="shared" si="5"/>
        <v>1490.5139999999999</v>
      </c>
      <c r="E47" s="112">
        <v>107.6</v>
      </c>
      <c r="F47" s="48">
        <f t="shared" si="3"/>
        <v>3279.3547464962826</v>
      </c>
      <c r="G47" s="48">
        <f t="shared" si="6"/>
        <v>98380.642394888477</v>
      </c>
      <c r="H47" s="134">
        <v>49700</v>
      </c>
      <c r="I47" s="64">
        <f t="shared" si="4"/>
        <v>109347.46731722431</v>
      </c>
      <c r="K47" s="3"/>
    </row>
    <row r="48" spans="1:12" ht="15.75" thickBot="1">
      <c r="A48">
        <v>1986</v>
      </c>
      <c r="B48" s="112">
        <v>1.39</v>
      </c>
      <c r="C48" s="129">
        <v>105160</v>
      </c>
      <c r="D48">
        <f t="shared" si="5"/>
        <v>1461.7239999999999</v>
      </c>
      <c r="E48" s="112">
        <v>109.6</v>
      </c>
      <c r="F48" s="48">
        <f t="shared" si="3"/>
        <v>3157.3260628163021</v>
      </c>
      <c r="G48" s="48">
        <f t="shared" si="6"/>
        <v>94719.781884489057</v>
      </c>
      <c r="H48" s="133">
        <v>52400</v>
      </c>
      <c r="I48" s="64">
        <f t="shared" si="4"/>
        <v>113184.07968369832</v>
      </c>
      <c r="K48" s="64"/>
    </row>
    <row r="49" spans="1:11" ht="15.75" thickBot="1">
      <c r="A49">
        <v>1987</v>
      </c>
      <c r="B49" s="112">
        <v>1.35</v>
      </c>
      <c r="C49" s="129">
        <v>109597</v>
      </c>
      <c r="D49">
        <f t="shared" si="5"/>
        <v>1479.5595000000001</v>
      </c>
      <c r="E49" s="112">
        <v>113.6</v>
      </c>
      <c r="F49" s="48">
        <f t="shared" si="3"/>
        <v>3083.3208132504406</v>
      </c>
      <c r="G49" s="48">
        <f t="shared" si="6"/>
        <v>92499.624397513224</v>
      </c>
      <c r="H49" s="134">
        <v>55100</v>
      </c>
      <c r="I49" s="64">
        <f t="shared" si="4"/>
        <v>114825.37661384977</v>
      </c>
      <c r="K49" s="3"/>
    </row>
    <row r="50" spans="1:11" ht="15.75" thickBot="1">
      <c r="A50">
        <v>1988</v>
      </c>
      <c r="B50" s="112">
        <v>1.32</v>
      </c>
      <c r="C50" s="129">
        <v>120734</v>
      </c>
      <c r="D50">
        <f t="shared" si="5"/>
        <v>1593.6888000000001</v>
      </c>
      <c r="E50" s="112">
        <v>118.3</v>
      </c>
      <c r="F50" s="48">
        <f t="shared" si="3"/>
        <v>3189.2119811631455</v>
      </c>
      <c r="G50" s="48">
        <f t="shared" si="6"/>
        <v>95676.359434894373</v>
      </c>
      <c r="H50" s="133">
        <v>57200</v>
      </c>
      <c r="I50" s="64">
        <f t="shared" si="4"/>
        <v>114465.83882783883</v>
      </c>
      <c r="K50" s="64"/>
    </row>
    <row r="51" spans="1:11" ht="15.75" thickBot="1">
      <c r="A51">
        <v>1989</v>
      </c>
      <c r="B51" s="112">
        <v>1.3</v>
      </c>
      <c r="C51" s="129">
        <v>141499</v>
      </c>
      <c r="D51">
        <f t="shared" si="5"/>
        <v>1839.4870000000001</v>
      </c>
      <c r="E51" s="112">
        <v>124</v>
      </c>
      <c r="F51" s="48">
        <f t="shared" si="3"/>
        <v>3511.879846880377</v>
      </c>
      <c r="G51" s="48">
        <f t="shared" si="6"/>
        <v>105356.39540641131</v>
      </c>
      <c r="H51" s="134">
        <v>59300</v>
      </c>
      <c r="I51" s="64">
        <f t="shared" si="4"/>
        <v>113213.34422043012</v>
      </c>
      <c r="K51" s="3"/>
    </row>
    <row r="52" spans="1:11" ht="15.75" thickBot="1">
      <c r="A52">
        <v>1990</v>
      </c>
      <c r="B52" s="112">
        <v>1.19</v>
      </c>
      <c r="C52" s="129">
        <v>171904</v>
      </c>
      <c r="D52">
        <f t="shared" si="5"/>
        <v>2045.6575999999998</v>
      </c>
      <c r="E52" s="112">
        <v>130.69999999999999</v>
      </c>
      <c r="F52" s="48">
        <f t="shared" si="3"/>
        <v>3705.2879765610815</v>
      </c>
      <c r="G52" s="48">
        <f t="shared" si="6"/>
        <v>111158.63929683244</v>
      </c>
      <c r="H52" s="133">
        <v>60150</v>
      </c>
      <c r="I52" s="64">
        <f t="shared" si="4"/>
        <v>108949.35290742161</v>
      </c>
      <c r="K52" s="64"/>
    </row>
    <row r="53" spans="1:11" ht="15.75" thickBot="1">
      <c r="A53">
        <v>1991</v>
      </c>
      <c r="B53" s="112">
        <v>1.1100000000000001</v>
      </c>
      <c r="C53" s="129">
        <v>196514</v>
      </c>
      <c r="D53">
        <f t="shared" si="5"/>
        <v>2181.3054000000002</v>
      </c>
      <c r="E53" s="112">
        <v>136.19999999999999</v>
      </c>
      <c r="F53" s="48">
        <f t="shared" si="3"/>
        <v>3791.4381697892818</v>
      </c>
      <c r="G53" s="48">
        <f t="shared" si="6"/>
        <v>113743.14509367845</v>
      </c>
      <c r="H53" s="134">
        <v>61000</v>
      </c>
      <c r="I53" s="64">
        <f t="shared" si="4"/>
        <v>106027.21120900639</v>
      </c>
      <c r="K53" s="3"/>
    </row>
    <row r="54" spans="1:11" ht="15.75" thickBot="1">
      <c r="A54">
        <v>1992</v>
      </c>
      <c r="B54" s="112">
        <v>1.1100000000000001</v>
      </c>
      <c r="C54" s="129">
        <v>193478</v>
      </c>
      <c r="D54">
        <f t="shared" si="5"/>
        <v>2147.6058000000003</v>
      </c>
      <c r="E54" s="112">
        <v>140.30000000000001</v>
      </c>
      <c r="F54" s="48">
        <f t="shared" si="3"/>
        <v>3623.7773670926595</v>
      </c>
      <c r="G54" s="48">
        <f t="shared" si="6"/>
        <v>108713.32101277978</v>
      </c>
      <c r="H54" s="133">
        <v>62500</v>
      </c>
      <c r="I54" s="64">
        <f t="shared" si="4"/>
        <v>105459.80339748159</v>
      </c>
      <c r="K54" s="64"/>
    </row>
    <row r="55" spans="1:11" ht="15.75" thickBot="1">
      <c r="A55">
        <v>1993</v>
      </c>
      <c r="B55" s="112">
        <v>1.1599999999999999</v>
      </c>
      <c r="C55" s="129">
        <v>186587</v>
      </c>
      <c r="D55">
        <f t="shared" si="5"/>
        <v>2164.4092000000001</v>
      </c>
      <c r="E55" s="112">
        <v>144.5</v>
      </c>
      <c r="F55" s="48">
        <f t="shared" si="3"/>
        <v>3545.978803502192</v>
      </c>
      <c r="G55" s="48">
        <f t="shared" si="6"/>
        <v>106379.36410506576</v>
      </c>
      <c r="H55" s="134">
        <v>64000</v>
      </c>
      <c r="I55" s="64">
        <f t="shared" si="4"/>
        <v>104852.00461361016</v>
      </c>
      <c r="K55" s="3"/>
    </row>
    <row r="56" spans="1:11" ht="15.75" thickBot="1">
      <c r="A56">
        <v>1994</v>
      </c>
      <c r="B56" s="112">
        <v>1.1599999999999999</v>
      </c>
      <c r="C56" s="129">
        <v>186435</v>
      </c>
      <c r="D56">
        <f t="shared" si="5"/>
        <v>2162.6459999999997</v>
      </c>
      <c r="E56" s="112">
        <v>148.19999999999999</v>
      </c>
      <c r="F56" s="48">
        <f t="shared" si="3"/>
        <v>3454.6324149595143</v>
      </c>
      <c r="G56" s="48">
        <f t="shared" si="6"/>
        <v>103638.97244878543</v>
      </c>
      <c r="H56" s="133">
        <v>66000</v>
      </c>
      <c r="I56" s="64">
        <f t="shared" si="4"/>
        <v>105429.06207827263</v>
      </c>
      <c r="K56" s="64"/>
    </row>
    <row r="57" spans="1:11" ht="15.75" thickBot="1">
      <c r="A57">
        <v>1995</v>
      </c>
      <c r="B57" s="112">
        <v>1.1599999999999999</v>
      </c>
      <c r="C57" s="129">
        <v>187811</v>
      </c>
      <c r="D57">
        <f t="shared" si="5"/>
        <v>2178.6075999999998</v>
      </c>
      <c r="E57" s="112">
        <v>152.4</v>
      </c>
      <c r="F57" s="48">
        <f t="shared" si="3"/>
        <v>3384.2205504912508</v>
      </c>
      <c r="G57" s="48">
        <f t="shared" si="6"/>
        <v>101526.61651473753</v>
      </c>
      <c r="H57" s="134">
        <v>70000</v>
      </c>
      <c r="I57" s="64">
        <f t="shared" si="4"/>
        <v>108737.08442694663</v>
      </c>
      <c r="K57" s="3"/>
    </row>
    <row r="58" spans="1:11" ht="15.75" thickBot="1">
      <c r="A58">
        <v>1996</v>
      </c>
      <c r="B58" s="112">
        <v>1.1599999999999999</v>
      </c>
      <c r="C58" s="129">
        <v>190361</v>
      </c>
      <c r="D58">
        <f t="shared" si="5"/>
        <v>2208.1875999999997</v>
      </c>
      <c r="E58" s="112">
        <v>156.9</v>
      </c>
      <c r="F58" s="48">
        <f t="shared" si="3"/>
        <v>3331.7901064682387</v>
      </c>
      <c r="G58" s="48">
        <f t="shared" si="6"/>
        <v>99953.703194047164</v>
      </c>
      <c r="H58" s="133">
        <v>71000</v>
      </c>
      <c r="I58" s="64">
        <f t="shared" si="4"/>
        <v>107127.26471213088</v>
      </c>
      <c r="K58" s="3"/>
    </row>
    <row r="59" spans="1:11" ht="15.75" thickBot="1">
      <c r="A59">
        <v>1997</v>
      </c>
      <c r="B59" s="112">
        <v>1.23</v>
      </c>
      <c r="C59" s="129">
        <v>191094</v>
      </c>
      <c r="D59">
        <f t="shared" si="5"/>
        <v>2350.4562000000001</v>
      </c>
      <c r="E59" s="112">
        <v>160.5</v>
      </c>
      <c r="F59" s="48">
        <f t="shared" si="3"/>
        <v>3466.9033688841128</v>
      </c>
      <c r="G59" s="48">
        <f t="shared" si="6"/>
        <v>104007.10106652338</v>
      </c>
      <c r="H59" s="134">
        <v>72000</v>
      </c>
      <c r="I59" s="64">
        <f t="shared" si="4"/>
        <v>106199.40186915889</v>
      </c>
      <c r="K59" s="3"/>
    </row>
    <row r="60" spans="1:11" ht="15.75" thickBot="1">
      <c r="A60">
        <v>1998</v>
      </c>
      <c r="B60" s="112">
        <v>1.23</v>
      </c>
      <c r="C60" s="129">
        <v>191149</v>
      </c>
      <c r="D60">
        <f t="shared" si="5"/>
        <v>2351.1327000000001</v>
      </c>
      <c r="E60" s="112">
        <v>163</v>
      </c>
      <c r="F60" s="48">
        <f t="shared" si="3"/>
        <v>3414.7125320407977</v>
      </c>
      <c r="G60" s="48">
        <f t="shared" si="6"/>
        <v>102441.37596122394</v>
      </c>
      <c r="H60" s="133">
        <v>76550</v>
      </c>
      <c r="I60" s="64">
        <f t="shared" si="4"/>
        <v>111178.85618609408</v>
      </c>
      <c r="K60" s="64"/>
    </row>
    <row r="61" spans="1:11" ht="15.75" thickBot="1">
      <c r="A61">
        <v>1999</v>
      </c>
      <c r="B61" s="112">
        <v>1.23</v>
      </c>
      <c r="C61" s="129">
        <v>192667</v>
      </c>
      <c r="D61">
        <f t="shared" si="5"/>
        <v>2369.8040999999998</v>
      </c>
      <c r="E61" s="112">
        <v>166.6</v>
      </c>
      <c r="F61" s="48">
        <f t="shared" si="3"/>
        <v>3367.4570131149462</v>
      </c>
      <c r="G61" s="48">
        <f t="shared" si="6"/>
        <v>101023.71039344839</v>
      </c>
      <c r="H61" s="134">
        <v>81100</v>
      </c>
      <c r="I61" s="64">
        <f t="shared" si="4"/>
        <v>115241.91546618649</v>
      </c>
      <c r="K61" s="3"/>
    </row>
    <row r="62" spans="1:11">
      <c r="A62">
        <v>2000</v>
      </c>
      <c r="B62" s="112">
        <v>1.23</v>
      </c>
      <c r="C62" s="129">
        <v>195713</v>
      </c>
      <c r="D62">
        <f t="shared" si="5"/>
        <v>2407.2698999999998</v>
      </c>
      <c r="E62" s="112">
        <v>172.2</v>
      </c>
      <c r="F62" s="48">
        <f t="shared" si="3"/>
        <v>3309.4532419166671</v>
      </c>
      <c r="G62" s="48">
        <f t="shared" si="6"/>
        <v>99283.59725750002</v>
      </c>
      <c r="H62" s="135">
        <v>82000</v>
      </c>
      <c r="I62" s="64">
        <f t="shared" si="4"/>
        <v>112731.50793650796</v>
      </c>
      <c r="K62" s="64"/>
    </row>
    <row r="63" spans="1:11">
      <c r="A63">
        <v>2001</v>
      </c>
      <c r="B63" s="112">
        <v>1.23</v>
      </c>
      <c r="C63" s="129">
        <v>208126</v>
      </c>
      <c r="D63">
        <f t="shared" si="5"/>
        <v>2559.9498000000003</v>
      </c>
      <c r="E63" s="112">
        <v>177.1</v>
      </c>
      <c r="F63" s="48">
        <f t="shared" si="3"/>
        <v>3421.980251333146</v>
      </c>
      <c r="G63" s="48">
        <f t="shared" si="6"/>
        <v>102659.40753999438</v>
      </c>
      <c r="H63" s="136">
        <v>84700</v>
      </c>
      <c r="I63" s="64">
        <f t="shared" si="4"/>
        <v>113221.64492753625</v>
      </c>
      <c r="K63" s="3"/>
    </row>
    <row r="64" spans="1:11">
      <c r="A64">
        <v>2002</v>
      </c>
      <c r="B64" s="112">
        <v>1.23</v>
      </c>
      <c r="C64" s="129">
        <v>234749</v>
      </c>
      <c r="D64">
        <f t="shared" si="5"/>
        <v>2887.4127000000003</v>
      </c>
      <c r="E64" s="112">
        <v>179.9</v>
      </c>
      <c r="F64" s="48">
        <f t="shared" si="3"/>
        <v>3799.6387669963874</v>
      </c>
      <c r="G64" s="48">
        <f t="shared" si="6"/>
        <v>113989.16300989162</v>
      </c>
      <c r="H64" s="137">
        <v>85300</v>
      </c>
      <c r="I64" s="64">
        <f t="shared" si="4"/>
        <v>112248.99953677971</v>
      </c>
      <c r="K64" s="3"/>
    </row>
    <row r="65" spans="1:15">
      <c r="A65">
        <v>2003</v>
      </c>
      <c r="B65" s="112">
        <v>1.21</v>
      </c>
      <c r="C65" s="129">
        <v>276945</v>
      </c>
      <c r="D65">
        <f t="shared" si="5"/>
        <v>3351.0345000000002</v>
      </c>
      <c r="E65" s="112">
        <v>184</v>
      </c>
      <c r="F65" s="48">
        <f t="shared" si="3"/>
        <v>4311.4731624877722</v>
      </c>
      <c r="G65" s="48">
        <f t="shared" si="6"/>
        <v>129344.19487463316</v>
      </c>
      <c r="H65" s="137">
        <v>80800</v>
      </c>
      <c r="I65" s="64">
        <f t="shared" si="4"/>
        <v>103958.05579710146</v>
      </c>
      <c r="K65" s="3"/>
    </row>
    <row r="66" spans="1:15">
      <c r="A66">
        <v>2004</v>
      </c>
      <c r="B66" s="112">
        <v>1.1599999999999999</v>
      </c>
      <c r="C66" s="129">
        <v>321238</v>
      </c>
      <c r="D66">
        <f t="shared" si="5"/>
        <v>3726.3607999999995</v>
      </c>
      <c r="E66" s="112">
        <v>188.9</v>
      </c>
      <c r="F66" s="48">
        <f t="shared" si="3"/>
        <v>4670.0072599731775</v>
      </c>
      <c r="G66" s="48">
        <f t="shared" si="6"/>
        <v>140100.21779919532</v>
      </c>
      <c r="H66" s="137">
        <v>88100</v>
      </c>
      <c r="I66" s="64">
        <f t="shared" si="4"/>
        <v>110410.0385565555</v>
      </c>
      <c r="K66" s="3"/>
    </row>
    <row r="67" spans="1:15">
      <c r="A67">
        <v>2005</v>
      </c>
      <c r="B67" s="112">
        <v>1.1299999999999999</v>
      </c>
      <c r="C67" s="129">
        <v>361334</v>
      </c>
      <c r="D67">
        <f t="shared" si="5"/>
        <v>4083.0742</v>
      </c>
      <c r="E67" s="112">
        <v>195.3</v>
      </c>
      <c r="F67" s="48">
        <f t="shared" si="3"/>
        <v>4949.3667912112996</v>
      </c>
      <c r="G67" s="48">
        <f t="shared" si="6"/>
        <v>148481.00373633899</v>
      </c>
      <c r="H67" s="137">
        <v>94600</v>
      </c>
      <c r="I67" s="64">
        <f t="shared" si="4"/>
        <v>114670.97473971668</v>
      </c>
      <c r="K67" s="3"/>
    </row>
    <row r="68" spans="1:15">
      <c r="A68">
        <v>2006</v>
      </c>
      <c r="B68" s="112">
        <v>1</v>
      </c>
      <c r="C68" s="129">
        <v>448491</v>
      </c>
      <c r="D68">
        <f t="shared" si="5"/>
        <v>4484.91</v>
      </c>
      <c r="E68" s="112">
        <v>201.6</v>
      </c>
      <c r="F68" s="48">
        <f t="shared" si="3"/>
        <v>5266.5694506200398</v>
      </c>
      <c r="G68" s="48">
        <f t="shared" si="6"/>
        <v>157997.0835186012</v>
      </c>
      <c r="H68" s="138">
        <v>100300</v>
      </c>
      <c r="I68" s="64">
        <f t="shared" si="4"/>
        <v>117780.9400628307</v>
      </c>
      <c r="K68" s="3"/>
    </row>
    <row r="69" spans="1:15">
      <c r="A69">
        <v>2007</v>
      </c>
      <c r="B69" s="112">
        <v>0.89</v>
      </c>
      <c r="C69" s="129">
        <v>544541</v>
      </c>
      <c r="D69">
        <f t="shared" si="5"/>
        <v>4846.4148999999998</v>
      </c>
      <c r="E69" s="112">
        <v>207.34200000000001</v>
      </c>
      <c r="F69" s="48">
        <f t="shared" si="3"/>
        <v>5533.4745758322806</v>
      </c>
      <c r="G69" s="48">
        <f t="shared" si="6"/>
        <v>166004.23727496841</v>
      </c>
      <c r="H69" s="138">
        <v>105200</v>
      </c>
      <c r="I69" s="64">
        <f t="shared" si="4"/>
        <v>120113.84443737079</v>
      </c>
      <c r="K69" s="3"/>
    </row>
    <row r="70" spans="1:15">
      <c r="A70">
        <v>2008</v>
      </c>
      <c r="B70" s="112">
        <v>0.89</v>
      </c>
      <c r="C70" s="129">
        <v>542409</v>
      </c>
      <c r="D70">
        <f t="shared" si="5"/>
        <v>4827.4400999999998</v>
      </c>
      <c r="E70" s="112">
        <v>215.303</v>
      </c>
      <c r="F70" s="48">
        <f t="shared" si="3"/>
        <v>5308.0062241907917</v>
      </c>
      <c r="G70" s="48">
        <f t="shared" si="6"/>
        <v>159240.18672572376</v>
      </c>
      <c r="H70" s="3">
        <v>107400</v>
      </c>
      <c r="I70" s="64">
        <f t="shared" si="4"/>
        <v>118091.54679683982</v>
      </c>
      <c r="K70" s="3"/>
    </row>
    <row r="71" spans="1:15">
      <c r="A71">
        <v>2009</v>
      </c>
      <c r="B71" s="112">
        <v>0.92</v>
      </c>
      <c r="C71" s="129">
        <v>525132</v>
      </c>
      <c r="D71">
        <f t="shared" si="5"/>
        <v>4831.2143999999998</v>
      </c>
      <c r="E71" s="112">
        <v>214.53700000000001</v>
      </c>
      <c r="F71" s="48">
        <f t="shared" si="3"/>
        <v>5331.1231974009152</v>
      </c>
      <c r="G71" s="48">
        <f t="shared" si="6"/>
        <v>159933.69592202746</v>
      </c>
      <c r="H71" s="3">
        <v>102500</v>
      </c>
      <c r="I71" s="64">
        <f t="shared" si="4"/>
        <v>113106.16389402917</v>
      </c>
      <c r="K71" s="3"/>
    </row>
    <row r="72" spans="1:15">
      <c r="A72">
        <v>2010</v>
      </c>
      <c r="B72" s="112">
        <v>1.04</v>
      </c>
      <c r="C72" s="129">
        <v>457898</v>
      </c>
      <c r="D72">
        <f t="shared" si="5"/>
        <v>4762.1392000000005</v>
      </c>
      <c r="E72" s="112">
        <v>218.05600000000001</v>
      </c>
      <c r="F72" s="48">
        <f t="shared" si="3"/>
        <v>5170.0965776730145</v>
      </c>
      <c r="G72" s="48">
        <f t="shared" si="6"/>
        <v>155102.89733019043</v>
      </c>
      <c r="H72" s="3">
        <v>103000</v>
      </c>
      <c r="I72" s="64">
        <f t="shared" si="4"/>
        <v>111823.68367147277</v>
      </c>
      <c r="K72" s="3"/>
    </row>
    <row r="73" spans="1:15">
      <c r="A73">
        <v>2011</v>
      </c>
      <c r="B73" s="112">
        <v>1.0900000000000001</v>
      </c>
      <c r="C73" s="129">
        <v>433409</v>
      </c>
      <c r="D73">
        <f t="shared" si="5"/>
        <v>4724.1581000000006</v>
      </c>
      <c r="E73" s="112">
        <v>224.93916666666667</v>
      </c>
      <c r="F73" s="48">
        <f t="shared" si="3"/>
        <v>4971.9179451686578</v>
      </c>
      <c r="G73" s="48">
        <f t="shared" si="6"/>
        <v>149157.53835505975</v>
      </c>
      <c r="H73" s="3">
        <v>105800</v>
      </c>
      <c r="I73" s="64">
        <f t="shared" si="4"/>
        <v>111348.71176280997</v>
      </c>
      <c r="K73" s="3"/>
    </row>
    <row r="74" spans="1:15">
      <c r="A74">
        <v>2012</v>
      </c>
      <c r="B74" s="130">
        <v>1.085</v>
      </c>
      <c r="C74" s="129">
        <v>445533</v>
      </c>
      <c r="D74">
        <f t="shared" si="5"/>
        <v>4834.03305</v>
      </c>
      <c r="E74" s="112">
        <v>229.5939166666667</v>
      </c>
      <c r="F74" s="48">
        <f t="shared" si="3"/>
        <v>4984.4110436882584</v>
      </c>
      <c r="G74" s="48">
        <f t="shared" si="6"/>
        <v>149532.33131064774</v>
      </c>
      <c r="H74" s="3">
        <v>107100</v>
      </c>
      <c r="I74" s="64">
        <f t="shared" si="4"/>
        <v>110431.68659738735</v>
      </c>
      <c r="K74" s="3"/>
    </row>
    <row r="75" spans="1:15">
      <c r="A75">
        <v>2013</v>
      </c>
      <c r="B75" s="130">
        <v>1.095</v>
      </c>
      <c r="C75" s="129">
        <v>449964</v>
      </c>
      <c r="D75">
        <f t="shared" si="5"/>
        <v>4927.1058000000003</v>
      </c>
      <c r="E75" s="112">
        <v>234.24866666666674</v>
      </c>
      <c r="F75" s="48">
        <f t="shared" si="3"/>
        <v>4979.4270185234773</v>
      </c>
      <c r="G75" s="48">
        <f t="shared" si="6"/>
        <v>149382.81055570432</v>
      </c>
      <c r="H75" s="3">
        <v>111079</v>
      </c>
      <c r="I75" s="64">
        <f t="shared" si="4"/>
        <v>112258.55425929138</v>
      </c>
      <c r="K75" s="3"/>
    </row>
    <row r="76" spans="1:15">
      <c r="A76">
        <v>2014</v>
      </c>
      <c r="B76" s="130">
        <v>1.1060000000000001</v>
      </c>
      <c r="C76" s="129">
        <v>467394</v>
      </c>
      <c r="D76">
        <f t="shared" si="5"/>
        <v>5169.3776400000006</v>
      </c>
      <c r="E76" s="112">
        <f>'Rev and Major Expenditures'!J$3</f>
        <v>236.73616666666669</v>
      </c>
      <c r="F76" s="48">
        <f t="shared" si="3"/>
        <v>5169.3776400000006</v>
      </c>
      <c r="G76" s="48">
        <f t="shared" si="6"/>
        <v>155081.32920000001</v>
      </c>
      <c r="H76" s="3">
        <v>112556.07669478602</v>
      </c>
      <c r="I76" s="64">
        <f t="shared" si="4"/>
        <v>112556.07669478602</v>
      </c>
      <c r="K76" s="3"/>
    </row>
    <row r="77" spans="1:15">
      <c r="A77">
        <v>2015</v>
      </c>
      <c r="B77">
        <f>1.09+0.0225+0.001</f>
        <v>1.1134999999999999</v>
      </c>
      <c r="C77" s="129">
        <v>497962</v>
      </c>
      <c r="D77">
        <f t="shared" ref="D77" si="7">B77*C77/100</f>
        <v>5544.8068699999994</v>
      </c>
      <c r="E77" s="112">
        <f>'Rev and Major Expenditures'!I$3</f>
        <v>240.6423134166667</v>
      </c>
      <c r="F77" s="48">
        <f t="shared" si="3"/>
        <v>5454.8026266601082</v>
      </c>
      <c r="G77" s="48">
        <f t="shared" ref="G77" si="8">F77*30</f>
        <v>163644.07879980325</v>
      </c>
      <c r="H77" s="3">
        <v>114077.43613800398</v>
      </c>
      <c r="I77" s="64">
        <f t="shared" si="4"/>
        <v>112225.71189178944</v>
      </c>
      <c r="K77" s="3"/>
    </row>
    <row r="78" spans="1:15">
      <c r="A78">
        <v>2016</v>
      </c>
      <c r="B78">
        <f>1.09+0.025+0.001</f>
        <v>1.1159999999999999</v>
      </c>
      <c r="C78" s="129">
        <f>C77*1.01</f>
        <v>502941.62</v>
      </c>
      <c r="D78">
        <f t="shared" si="5"/>
        <v>5612.8284791999995</v>
      </c>
      <c r="E78" s="112">
        <f>'Rev and Major Expenditures'!F$3</f>
        <v>244.6129115880417</v>
      </c>
      <c r="F78" s="48">
        <f t="shared" si="3"/>
        <v>5432.0906026461071</v>
      </c>
      <c r="G78" s="48">
        <f t="shared" si="6"/>
        <v>162962.71807938322</v>
      </c>
      <c r="H78" s="3">
        <v>114077.43613800398</v>
      </c>
      <c r="I78" s="64">
        <f t="shared" si="4"/>
        <v>110404.04514686615</v>
      </c>
      <c r="K78" s="3"/>
    </row>
    <row r="79" spans="1:15">
      <c r="A79">
        <v>2017</v>
      </c>
      <c r="B79">
        <f>1.13+0.0275+0.001</f>
        <v>1.1584999999999999</v>
      </c>
      <c r="C79" s="129">
        <v>514842.9118</v>
      </c>
      <c r="D79">
        <f t="shared" si="5"/>
        <v>5964.4551332029987</v>
      </c>
      <c r="E79" s="112">
        <f>'Rev and Major Expenditures'!D$3</f>
        <v>247.05904070392211</v>
      </c>
      <c r="F79" s="48">
        <f t="shared" si="3"/>
        <v>5715.2421561531019</v>
      </c>
      <c r="G79" s="48">
        <f t="shared" si="6"/>
        <v>171457.26468459304</v>
      </c>
      <c r="H79" s="3">
        <v>115902.67511621205</v>
      </c>
      <c r="I79" s="64">
        <f t="shared" si="4"/>
        <v>111059.91076160003</v>
      </c>
      <c r="K79" s="3"/>
    </row>
    <row r="80" spans="1:15">
      <c r="O80" s="3"/>
    </row>
    <row r="81" spans="5:15">
      <c r="E81" t="s">
        <v>626</v>
      </c>
      <c r="G81" s="1">
        <f>G79/G78-1</f>
        <v>5.2125705224626451E-2</v>
      </c>
      <c r="I81" s="1">
        <f>I79/I78-1</f>
        <v>5.9405940594061679E-3</v>
      </c>
      <c r="J81" t="s">
        <v>626</v>
      </c>
      <c r="O81" s="3"/>
    </row>
  </sheetData>
  <hyperlinks>
    <hyperlink ref="C2" r:id="rId1"/>
    <hyperlink ref="S3" r:id="rId2"/>
  </hyperlinks>
  <pageMargins left="0.7" right="0.7" top="0.75" bottom="0.75" header="0.3" footer="0.3"/>
  <pageSetup orientation="portrait" r:id="rId3"/>
  <drawing r:id="rId4"/>
  <legacy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Graphs</vt:lpstr>
      <vt:lpstr>Rev and Major Expenditures</vt:lpstr>
      <vt:lpstr>GenFund Statement</vt:lpstr>
      <vt:lpstr>Detailed Expenditures</vt:lpstr>
      <vt:lpstr>Old vs New accounts</vt:lpstr>
      <vt:lpstr>Employee Count</vt:lpstr>
      <vt:lpstr>BPOL</vt:lpstr>
      <vt:lpstr>Assessments</vt:lpstr>
      <vt:lpstr>Demographics</vt:lpstr>
    </vt:vector>
  </TitlesOfParts>
  <Company>Frederick A. Costello, Inc.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Frederick A Costello</dc:creator>
  <cp:lastModifiedBy>FACostello</cp:lastModifiedBy>
  <cp:lastPrinted>2016-02-18T22:18:44Z</cp:lastPrinted>
  <dcterms:created xsi:type="dcterms:W3CDTF">2013-03-23T17:44:14Z</dcterms:created>
  <dcterms:modified xsi:type="dcterms:W3CDTF">2016-02-27T02:18:18Z</dcterms:modified>
</cp:coreProperties>
</file>