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Default Extension="vml" ContentType="application/vnd.openxmlformats-officedocument.vmlDrawing"/>
  <Override PartName="/xl/comments1.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charts/chart7.xml" ContentType="application/vnd.openxmlformats-officedocument.drawingml.chart+xml"/>
  <Override PartName="/xl/charts/chart10.xml" ContentType="application/vnd.openxmlformats-officedocument.drawingml.chart+xml"/>
  <Default Extension="bin" ContentType="application/vnd.openxmlformats-officedocument.spreadsheetml.printerSettings"/>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785" yWindow="15" windowWidth="8160" windowHeight="9015" activeTab="1"/>
  </bookViews>
  <sheets>
    <sheet name="Sources" sheetId="450" r:id="rId1"/>
    <sheet name="Graphs" sheetId="442" r:id="rId2"/>
    <sheet name="Comparisons" sheetId="449" r:id="rId3"/>
    <sheet name="Derived data" sheetId="447" r:id="rId4"/>
    <sheet name="Budget summary" sheetId="435" r:id="rId5"/>
    <sheet name="Expenditure detail" sheetId="431" r:id="rId6"/>
    <sheet name="Revenue detail" sheetId="432" r:id="rId7"/>
    <sheet name="Positions" sheetId="396" r:id="rId8"/>
    <sheet name="Teacher pay scales" sheetId="438" r:id="rId9"/>
    <sheet name="Vs other districts" sheetId="448" r:id="rId10"/>
    <sheet name="Class sizes" sheetId="451" r:id="rId11"/>
  </sheets>
  <externalReferences>
    <externalReference r:id="rId12"/>
  </externalReferences>
  <calcPr calcId="125725"/>
</workbook>
</file>

<file path=xl/calcChain.xml><?xml version="1.0" encoding="utf-8"?>
<calcChain xmlns="http://schemas.openxmlformats.org/spreadsheetml/2006/main">
  <c r="H5" i="451"/>
  <c r="M5"/>
  <c r="G5"/>
  <c r="P4"/>
  <c r="P3"/>
  <c r="P2"/>
  <c r="I3"/>
  <c r="N3"/>
  <c r="O3" s="1"/>
  <c r="I4"/>
  <c r="J4" s="1"/>
  <c r="N4" s="1"/>
  <c r="O4" s="1"/>
  <c r="O2"/>
  <c r="N2"/>
  <c r="J2"/>
  <c r="M2"/>
  <c r="D7"/>
  <c r="D6"/>
  <c r="F4"/>
  <c r="C4"/>
  <c r="F3"/>
  <c r="C3"/>
  <c r="D2"/>
  <c r="F2" s="1"/>
  <c r="U81" i="435"/>
  <c r="U80"/>
  <c r="U79"/>
  <c r="U78"/>
  <c r="U77"/>
  <c r="U76"/>
  <c r="U75"/>
  <c r="U74"/>
  <c r="U73"/>
  <c r="U72"/>
  <c r="U71"/>
  <c r="U70"/>
  <c r="U69"/>
  <c r="U68"/>
  <c r="D14" i="447"/>
  <c r="D9"/>
  <c r="P21" i="449"/>
  <c r="R21" s="1"/>
  <c r="G21"/>
  <c r="K21" s="1"/>
  <c r="P20"/>
  <c r="G20"/>
  <c r="K20" s="1"/>
  <c r="D20"/>
  <c r="E20" s="1"/>
  <c r="P19"/>
  <c r="G19"/>
  <c r="D19"/>
  <c r="E19" s="1"/>
  <c r="P18"/>
  <c r="N18" s="1"/>
  <c r="G18"/>
  <c r="K18" s="1"/>
  <c r="D18"/>
  <c r="E18" s="1"/>
  <c r="B18"/>
  <c r="P17"/>
  <c r="R17" s="1"/>
  <c r="B17"/>
  <c r="B16"/>
  <c r="B15"/>
  <c r="B14"/>
  <c r="B13"/>
  <c r="B12"/>
  <c r="B11"/>
  <c r="B10"/>
  <c r="B9"/>
  <c r="B8"/>
  <c r="B7"/>
  <c r="B6"/>
  <c r="B5"/>
  <c r="C14" s="1"/>
  <c r="K19"/>
  <c r="F18"/>
  <c r="F17"/>
  <c r="E17"/>
  <c r="Q16"/>
  <c r="S16" s="1"/>
  <c r="P16"/>
  <c r="R16" s="1"/>
  <c r="F16"/>
  <c r="E16"/>
  <c r="Q15"/>
  <c r="S15" s="1"/>
  <c r="P15"/>
  <c r="R15" s="1"/>
  <c r="F15"/>
  <c r="E15"/>
  <c r="Q14"/>
  <c r="S14" s="1"/>
  <c r="P14"/>
  <c r="R14" s="1"/>
  <c r="F14"/>
  <c r="E14"/>
  <c r="Q13"/>
  <c r="S13" s="1"/>
  <c r="P13"/>
  <c r="R13" s="1"/>
  <c r="F13"/>
  <c r="E13"/>
  <c r="Q12"/>
  <c r="S12" s="1"/>
  <c r="P12"/>
  <c r="R12" s="1"/>
  <c r="F12"/>
  <c r="E12"/>
  <c r="Q11"/>
  <c r="S11" s="1"/>
  <c r="P11"/>
  <c r="R11" s="1"/>
  <c r="F11"/>
  <c r="E11"/>
  <c r="Q10"/>
  <c r="S10" s="1"/>
  <c r="P10"/>
  <c r="R10" s="1"/>
  <c r="F10"/>
  <c r="E10"/>
  <c r="Q9"/>
  <c r="S9" s="1"/>
  <c r="P9"/>
  <c r="R9" s="1"/>
  <c r="F9"/>
  <c r="E9"/>
  <c r="Q8"/>
  <c r="S8" s="1"/>
  <c r="P8"/>
  <c r="R8" s="1"/>
  <c r="F8"/>
  <c r="E8"/>
  <c r="Q7"/>
  <c r="S7" s="1"/>
  <c r="P7"/>
  <c r="R7" s="1"/>
  <c r="F7"/>
  <c r="E7"/>
  <c r="Q6"/>
  <c r="S6" s="1"/>
  <c r="P6"/>
  <c r="R6" s="1"/>
  <c r="F6"/>
  <c r="E6"/>
  <c r="Q5"/>
  <c r="S5" s="1"/>
  <c r="P5"/>
  <c r="R20" s="1"/>
  <c r="F5"/>
  <c r="E5"/>
  <c r="Q4"/>
  <c r="S4" s="1"/>
  <c r="P4"/>
  <c r="R4" s="1"/>
  <c r="F4"/>
  <c r="E4"/>
  <c r="C35" i="447"/>
  <c r="D35"/>
  <c r="C25"/>
  <c r="D25"/>
  <c r="S18"/>
  <c r="P18"/>
  <c r="O18"/>
  <c r="L18"/>
  <c r="K18"/>
  <c r="H18"/>
  <c r="G18"/>
  <c r="S15"/>
  <c r="R15"/>
  <c r="R18" s="1"/>
  <c r="Q15"/>
  <c r="Q18" s="1"/>
  <c r="P15"/>
  <c r="O15"/>
  <c r="N15"/>
  <c r="N18" s="1"/>
  <c r="M15"/>
  <c r="M18" s="1"/>
  <c r="L15"/>
  <c r="K15"/>
  <c r="J15"/>
  <c r="J18" s="1"/>
  <c r="I15"/>
  <c r="I18" s="1"/>
  <c r="H15"/>
  <c r="G15"/>
  <c r="F15"/>
  <c r="F18" s="1"/>
  <c r="E15"/>
  <c r="D15"/>
  <c r="C15"/>
  <c r="S19"/>
  <c r="R19"/>
  <c r="Q19"/>
  <c r="P19"/>
  <c r="O19"/>
  <c r="N19"/>
  <c r="M19"/>
  <c r="L19"/>
  <c r="K19"/>
  <c r="J19"/>
  <c r="I19"/>
  <c r="H19"/>
  <c r="G19"/>
  <c r="F19"/>
  <c r="E19"/>
  <c r="S24"/>
  <c r="R24"/>
  <c r="Q24"/>
  <c r="P24"/>
  <c r="O24"/>
  <c r="N24"/>
  <c r="M24"/>
  <c r="L24"/>
  <c r="K24"/>
  <c r="J24"/>
  <c r="I24"/>
  <c r="H24"/>
  <c r="G24"/>
  <c r="F24"/>
  <c r="E24"/>
  <c r="D24"/>
  <c r="C24"/>
  <c r="S23"/>
  <c r="R23"/>
  <c r="Q23"/>
  <c r="P23"/>
  <c r="O23"/>
  <c r="N23"/>
  <c r="M23"/>
  <c r="L23"/>
  <c r="K23"/>
  <c r="J23"/>
  <c r="I23"/>
  <c r="H23"/>
  <c r="G23"/>
  <c r="F23"/>
  <c r="E23"/>
  <c r="D23"/>
  <c r="C23"/>
  <c r="E4" i="435"/>
  <c r="D4"/>
  <c r="C4" s="1"/>
  <c r="B4" s="1"/>
  <c r="S67"/>
  <c r="R67"/>
  <c r="Q67"/>
  <c r="P67"/>
  <c r="O67"/>
  <c r="N67"/>
  <c r="M67"/>
  <c r="L67"/>
  <c r="K67"/>
  <c r="J67"/>
  <c r="I67"/>
  <c r="H67"/>
  <c r="D20" i="447"/>
  <c r="X86" i="448"/>
  <c r="X73"/>
  <c r="X72"/>
  <c r="X71"/>
  <c r="X70"/>
  <c r="X69"/>
  <c r="X68"/>
  <c r="X67"/>
  <c r="X66"/>
  <c r="X65"/>
  <c r="X64"/>
  <c r="S86"/>
  <c r="R86"/>
  <c r="Q86"/>
  <c r="P86"/>
  <c r="O86"/>
  <c r="N86"/>
  <c r="M86"/>
  <c r="L86"/>
  <c r="K86"/>
  <c r="J86"/>
  <c r="I86"/>
  <c r="H86"/>
  <c r="G86"/>
  <c r="F86"/>
  <c r="E86"/>
  <c r="D86"/>
  <c r="C86"/>
  <c r="D108" i="396"/>
  <c r="C108"/>
  <c r="D104"/>
  <c r="C104"/>
  <c r="D101"/>
  <c r="C101"/>
  <c r="D94"/>
  <c r="C94"/>
  <c r="D91"/>
  <c r="C91"/>
  <c r="D84"/>
  <c r="C84"/>
  <c r="D54"/>
  <c r="C54"/>
  <c r="D49"/>
  <c r="C49"/>
  <c r="D35"/>
  <c r="C35"/>
  <c r="D31"/>
  <c r="C31"/>
  <c r="D23"/>
  <c r="C23"/>
  <c r="D17"/>
  <c r="C17"/>
  <c r="D7"/>
  <c r="C7"/>
  <c r="C6" s="1"/>
  <c r="D21" i="447" s="1"/>
  <c r="D22" s="1"/>
  <c r="B56" i="435"/>
  <c r="B55"/>
  <c r="B54"/>
  <c r="B52"/>
  <c r="B51"/>
  <c r="B50"/>
  <c r="B49"/>
  <c r="B47"/>
  <c r="B46"/>
  <c r="B45"/>
  <c r="B44"/>
  <c r="B43"/>
  <c r="B41"/>
  <c r="B40"/>
  <c r="B39"/>
  <c r="B38"/>
  <c r="B37"/>
  <c r="B36"/>
  <c r="B34"/>
  <c r="B33"/>
  <c r="B32"/>
  <c r="B31"/>
  <c r="B30"/>
  <c r="B29"/>
  <c r="B28"/>
  <c r="C56"/>
  <c r="C55"/>
  <c r="C54"/>
  <c r="C52"/>
  <c r="C51"/>
  <c r="C50"/>
  <c r="C49"/>
  <c r="C47"/>
  <c r="C46"/>
  <c r="C45"/>
  <c r="C44"/>
  <c r="C43"/>
  <c r="C41"/>
  <c r="C40"/>
  <c r="C39"/>
  <c r="C38"/>
  <c r="C37"/>
  <c r="C36"/>
  <c r="C34"/>
  <c r="C33"/>
  <c r="C32"/>
  <c r="C31"/>
  <c r="C30"/>
  <c r="C27" s="1"/>
  <c r="C29"/>
  <c r="C28"/>
  <c r="B26"/>
  <c r="C26"/>
  <c r="T30" i="447"/>
  <c r="T44"/>
  <c r="S44"/>
  <c r="R44"/>
  <c r="Q44"/>
  <c r="P44"/>
  <c r="O44"/>
  <c r="N44"/>
  <c r="M44"/>
  <c r="L44"/>
  <c r="K44"/>
  <c r="J44"/>
  <c r="I44"/>
  <c r="H44"/>
  <c r="G44"/>
  <c r="F44"/>
  <c r="E44"/>
  <c r="D58" i="438"/>
  <c r="D59"/>
  <c r="D56"/>
  <c r="X74" i="448"/>
  <c r="S84"/>
  <c r="S83"/>
  <c r="S80"/>
  <c r="S79"/>
  <c r="S76"/>
  <c r="S39"/>
  <c r="S85" s="1"/>
  <c r="S38"/>
  <c r="S37"/>
  <c r="S36"/>
  <c r="S82" s="1"/>
  <c r="S35"/>
  <c r="S81" s="1"/>
  <c r="S34"/>
  <c r="S33"/>
  <c r="S32"/>
  <c r="S78" s="1"/>
  <c r="S31"/>
  <c r="S77" s="1"/>
  <c r="T77" s="1"/>
  <c r="S30"/>
  <c r="F91" i="432"/>
  <c r="D111"/>
  <c r="E111"/>
  <c r="F111"/>
  <c r="A130"/>
  <c r="A131" s="1"/>
  <c r="A132" s="1"/>
  <c r="A133" s="1"/>
  <c r="A134" s="1"/>
  <c r="A135" s="1"/>
  <c r="A136" s="1"/>
  <c r="A137" s="1"/>
  <c r="A138" s="1"/>
  <c r="A139" s="1"/>
  <c r="A129"/>
  <c r="A128"/>
  <c r="M127"/>
  <c r="L127"/>
  <c r="K127"/>
  <c r="J127"/>
  <c r="I127"/>
  <c r="H127"/>
  <c r="F127"/>
  <c r="E127"/>
  <c r="D127"/>
  <c r="C127"/>
  <c r="G127"/>
  <c r="F80"/>
  <c r="E80"/>
  <c r="D80"/>
  <c r="D59"/>
  <c r="D60"/>
  <c r="E60"/>
  <c r="F60"/>
  <c r="D64"/>
  <c r="E64"/>
  <c r="F64"/>
  <c r="F13"/>
  <c r="E13"/>
  <c r="D13"/>
  <c r="D43"/>
  <c r="E43"/>
  <c r="F43"/>
  <c r="C8"/>
  <c r="D8"/>
  <c r="E8"/>
  <c r="E136"/>
  <c r="D136"/>
  <c r="C136"/>
  <c r="F140"/>
  <c r="E140"/>
  <c r="D140"/>
  <c r="C140"/>
  <c r="C111"/>
  <c r="C131"/>
  <c r="D131"/>
  <c r="D130" s="1"/>
  <c r="C121"/>
  <c r="D121"/>
  <c r="C118"/>
  <c r="D118"/>
  <c r="C112"/>
  <c r="D112"/>
  <c r="D104"/>
  <c r="C104"/>
  <c r="D100"/>
  <c r="C100"/>
  <c r="D97"/>
  <c r="C97"/>
  <c r="D93"/>
  <c r="C93"/>
  <c r="C64"/>
  <c r="C89"/>
  <c r="D89"/>
  <c r="D88" s="1"/>
  <c r="C86"/>
  <c r="C85"/>
  <c r="D86"/>
  <c r="D85" s="1"/>
  <c r="D83"/>
  <c r="C83"/>
  <c r="C80"/>
  <c r="D78"/>
  <c r="C78"/>
  <c r="C60"/>
  <c r="D46"/>
  <c r="C46"/>
  <c r="C13" s="1"/>
  <c r="C7" s="1"/>
  <c r="C43"/>
  <c r="D39"/>
  <c r="C39"/>
  <c r="D36"/>
  <c r="C36"/>
  <c r="C17"/>
  <c r="D17"/>
  <c r="D14"/>
  <c r="D9"/>
  <c r="D28"/>
  <c r="C28"/>
  <c r="C14"/>
  <c r="C9"/>
  <c r="D102" i="442"/>
  <c r="D101"/>
  <c r="C102"/>
  <c r="C101"/>
  <c r="D100"/>
  <c r="C100"/>
  <c r="D99"/>
  <c r="C99"/>
  <c r="N101"/>
  <c r="M101"/>
  <c r="M102"/>
  <c r="C8" i="449" l="1"/>
  <c r="C12"/>
  <c r="C7"/>
  <c r="J5" i="451"/>
  <c r="D5"/>
  <c r="C6" i="449"/>
  <c r="C11"/>
  <c r="C16"/>
  <c r="R19"/>
  <c r="C18"/>
  <c r="C5"/>
  <c r="C10"/>
  <c r="C15"/>
  <c r="C9"/>
  <c r="C13"/>
  <c r="C17"/>
  <c r="C4"/>
  <c r="L18"/>
  <c r="H18" s="1"/>
  <c r="M18"/>
  <c r="L17"/>
  <c r="L16"/>
  <c r="L15"/>
  <c r="L14"/>
  <c r="L13"/>
  <c r="L12"/>
  <c r="L11"/>
  <c r="L10"/>
  <c r="L9"/>
  <c r="L8"/>
  <c r="L7"/>
  <c r="L6"/>
  <c r="L5"/>
  <c r="L4"/>
  <c r="R5"/>
  <c r="R18"/>
  <c r="T18" s="1"/>
  <c r="D6" i="396"/>
  <c r="E21" i="447" s="1"/>
  <c r="B27" i="435"/>
  <c r="B42"/>
  <c r="C42"/>
  <c r="C57" s="1"/>
  <c r="T78" i="448"/>
  <c r="T82"/>
  <c r="T79"/>
  <c r="T83"/>
  <c r="T76"/>
  <c r="T80"/>
  <c r="T84"/>
  <c r="T81"/>
  <c r="T85"/>
  <c r="C130" i="432"/>
  <c r="C88"/>
  <c r="C59"/>
  <c r="D7"/>
  <c r="D247" i="431"/>
  <c r="E247"/>
  <c r="B57" i="435" l="1"/>
  <c r="M6" i="449"/>
  <c r="H6"/>
  <c r="M10"/>
  <c r="H10"/>
  <c r="M14"/>
  <c r="H14"/>
  <c r="M5"/>
  <c r="H5"/>
  <c r="I5" s="1"/>
  <c r="M9"/>
  <c r="H9"/>
  <c r="M13"/>
  <c r="H13"/>
  <c r="M17"/>
  <c r="H17"/>
  <c r="M4"/>
  <c r="H4"/>
  <c r="I4" s="1"/>
  <c r="M8"/>
  <c r="H8"/>
  <c r="M12"/>
  <c r="H12"/>
  <c r="I12" s="1"/>
  <c r="M16"/>
  <c r="H16"/>
  <c r="M7"/>
  <c r="H7"/>
  <c r="M11"/>
  <c r="H11"/>
  <c r="M15"/>
  <c r="H15"/>
  <c r="D286" i="431"/>
  <c r="E286"/>
  <c r="I13" i="449" l="1"/>
  <c r="I18"/>
  <c r="I11"/>
  <c r="I10"/>
  <c r="I15"/>
  <c r="I7"/>
  <c r="I16"/>
  <c r="I8"/>
  <c r="I17"/>
  <c r="I9"/>
  <c r="I14"/>
  <c r="I6"/>
  <c r="E410" i="431"/>
  <c r="E413"/>
  <c r="E416"/>
  <c r="E422"/>
  <c r="E427"/>
  <c r="E436"/>
  <c r="E444"/>
  <c r="E447"/>
  <c r="E452"/>
  <c r="E463"/>
  <c r="E475"/>
  <c r="E471"/>
  <c r="E480"/>
  <c r="E485"/>
  <c r="E490"/>
  <c r="E493"/>
  <c r="E496"/>
  <c r="E503"/>
  <c r="E10"/>
  <c r="E18"/>
  <c r="D324"/>
  <c r="E324"/>
  <c r="F324"/>
  <c r="F493"/>
  <c r="D471"/>
  <c r="F471"/>
  <c r="D327"/>
  <c r="E327"/>
  <c r="F327"/>
  <c r="D249"/>
  <c r="D242"/>
  <c r="D239"/>
  <c r="D236"/>
  <c r="D233"/>
  <c r="D226"/>
  <c r="D52" l="1"/>
  <c r="D219"/>
  <c r="E219"/>
  <c r="F219"/>
  <c r="F126"/>
  <c r="E126"/>
  <c r="D126"/>
  <c r="D25"/>
  <c r="B324"/>
  <c r="C324"/>
  <c r="C219"/>
  <c r="S169"/>
  <c r="R169"/>
  <c r="Q169"/>
  <c r="P169"/>
  <c r="O169"/>
  <c r="N169"/>
  <c r="M169"/>
  <c r="L169"/>
  <c r="K169"/>
  <c r="J169"/>
  <c r="I169"/>
  <c r="H169"/>
  <c r="G169"/>
  <c r="B169"/>
  <c r="C169"/>
  <c r="B16" i="435"/>
  <c r="B77" s="1"/>
  <c r="B14"/>
  <c r="B75" s="1"/>
  <c r="B13"/>
  <c r="B74" s="1"/>
  <c r="B12"/>
  <c r="B73" s="1"/>
  <c r="B11"/>
  <c r="B72" s="1"/>
  <c r="B10"/>
  <c r="B71" s="1"/>
  <c r="B9"/>
  <c r="B70" s="1"/>
  <c r="B8"/>
  <c r="B69" s="1"/>
  <c r="C16"/>
  <c r="C77" s="1"/>
  <c r="C14"/>
  <c r="C75" s="1"/>
  <c r="C13"/>
  <c r="C74" s="1"/>
  <c r="C12"/>
  <c r="C73" s="1"/>
  <c r="C9"/>
  <c r="C70" s="1"/>
  <c r="C8"/>
  <c r="C69" s="1"/>
  <c r="D493" i="431"/>
  <c r="C493"/>
  <c r="B471"/>
  <c r="C471"/>
  <c r="C327"/>
  <c r="C126"/>
  <c r="B493"/>
  <c r="B289"/>
  <c r="C503"/>
  <c r="C20" i="435" s="1"/>
  <c r="C81" s="1"/>
  <c r="B503" i="431"/>
  <c r="B20" i="435" s="1"/>
  <c r="B81" s="1"/>
  <c r="C496" i="431"/>
  <c r="B496"/>
  <c r="C490"/>
  <c r="B490"/>
  <c r="C485"/>
  <c r="B485"/>
  <c r="C482"/>
  <c r="B482"/>
  <c r="C475"/>
  <c r="B475"/>
  <c r="C463"/>
  <c r="B463"/>
  <c r="C452"/>
  <c r="B452"/>
  <c r="C447"/>
  <c r="B447"/>
  <c r="C444"/>
  <c r="B444"/>
  <c r="C436"/>
  <c r="B436"/>
  <c r="C427"/>
  <c r="B427"/>
  <c r="C422"/>
  <c r="B422"/>
  <c r="C416"/>
  <c r="B416"/>
  <c r="C413"/>
  <c r="B413"/>
  <c r="C410"/>
  <c r="B410"/>
  <c r="C405"/>
  <c r="B405"/>
  <c r="C395"/>
  <c r="B395"/>
  <c r="C374"/>
  <c r="B374"/>
  <c r="C364"/>
  <c r="B364"/>
  <c r="C358"/>
  <c r="B358"/>
  <c r="C351"/>
  <c r="B351"/>
  <c r="C339"/>
  <c r="B339"/>
  <c r="C336"/>
  <c r="B336"/>
  <c r="B327"/>
  <c r="C319"/>
  <c r="B319"/>
  <c r="C311"/>
  <c r="B311"/>
  <c r="C305"/>
  <c r="B305"/>
  <c r="C289"/>
  <c r="C280"/>
  <c r="B280"/>
  <c r="C249"/>
  <c r="C247" s="1"/>
  <c r="B249"/>
  <c r="C242"/>
  <c r="B242"/>
  <c r="C239"/>
  <c r="B239"/>
  <c r="C236"/>
  <c r="B236"/>
  <c r="C233"/>
  <c r="B233"/>
  <c r="C226"/>
  <c r="B226"/>
  <c r="C222"/>
  <c r="B222"/>
  <c r="B219"/>
  <c r="C212"/>
  <c r="B212"/>
  <c r="C206"/>
  <c r="B206"/>
  <c r="C199"/>
  <c r="B199"/>
  <c r="C191"/>
  <c r="B191"/>
  <c r="C185"/>
  <c r="B185"/>
  <c r="C171"/>
  <c r="B171"/>
  <c r="C166"/>
  <c r="B166"/>
  <c r="C158"/>
  <c r="B158"/>
  <c r="C143"/>
  <c r="C141" s="1"/>
  <c r="B143"/>
  <c r="C137"/>
  <c r="B137"/>
  <c r="C130"/>
  <c r="C124" s="1"/>
  <c r="B130"/>
  <c r="B126"/>
  <c r="C119"/>
  <c r="B119"/>
  <c r="C116"/>
  <c r="B116"/>
  <c r="C111"/>
  <c r="B111"/>
  <c r="C107"/>
  <c r="B107"/>
  <c r="C99"/>
  <c r="B99"/>
  <c r="C95"/>
  <c r="B95"/>
  <c r="C87"/>
  <c r="B87"/>
  <c r="C58"/>
  <c r="B58"/>
  <c r="C52"/>
  <c r="B52"/>
  <c r="C39"/>
  <c r="B39"/>
  <c r="C34"/>
  <c r="B34"/>
  <c r="C25"/>
  <c r="B25"/>
  <c r="C18"/>
  <c r="B18"/>
  <c r="C10"/>
  <c r="B10"/>
  <c r="D374"/>
  <c r="C7" i="447"/>
  <c r="C43"/>
  <c r="N104" i="442" s="1"/>
  <c r="D43" i="447"/>
  <c r="E43"/>
  <c r="F43"/>
  <c r="G43"/>
  <c r="H43"/>
  <c r="I43"/>
  <c r="M104" i="442" s="1"/>
  <c r="J43" i="447"/>
  <c r="K43"/>
  <c r="N103" i="442" s="1"/>
  <c r="L43" i="447"/>
  <c r="M43"/>
  <c r="N43"/>
  <c r="O43"/>
  <c r="P43"/>
  <c r="Q43"/>
  <c r="R43"/>
  <c r="S43"/>
  <c r="T43"/>
  <c r="M103" i="442" s="1"/>
  <c r="N83" i="448"/>
  <c r="R85"/>
  <c r="Q85"/>
  <c r="P85"/>
  <c r="O85"/>
  <c r="N85"/>
  <c r="M85"/>
  <c r="L85"/>
  <c r="K85"/>
  <c r="J85"/>
  <c r="I85"/>
  <c r="H85"/>
  <c r="G85"/>
  <c r="F85"/>
  <c r="E85"/>
  <c r="D85"/>
  <c r="C85"/>
  <c r="R84"/>
  <c r="Q84"/>
  <c r="P84"/>
  <c r="O84"/>
  <c r="N84"/>
  <c r="M84"/>
  <c r="L84"/>
  <c r="K84"/>
  <c r="J84"/>
  <c r="I84"/>
  <c r="H84"/>
  <c r="G84"/>
  <c r="F84"/>
  <c r="E84"/>
  <c r="D84"/>
  <c r="C84"/>
  <c r="R83"/>
  <c r="Q83"/>
  <c r="P83"/>
  <c r="O83"/>
  <c r="M83"/>
  <c r="L83"/>
  <c r="K83"/>
  <c r="J83"/>
  <c r="I83"/>
  <c r="H83"/>
  <c r="G83"/>
  <c r="F83"/>
  <c r="E83"/>
  <c r="D83"/>
  <c r="C83"/>
  <c r="R82"/>
  <c r="Q82"/>
  <c r="P82"/>
  <c r="O82"/>
  <c r="N82"/>
  <c r="M82"/>
  <c r="L82"/>
  <c r="K82"/>
  <c r="J82"/>
  <c r="I82"/>
  <c r="H82"/>
  <c r="G82"/>
  <c r="F82"/>
  <c r="E82"/>
  <c r="D82"/>
  <c r="C82"/>
  <c r="R81"/>
  <c r="Q81"/>
  <c r="P81"/>
  <c r="O81"/>
  <c r="N81"/>
  <c r="M81"/>
  <c r="L81"/>
  <c r="K81"/>
  <c r="J81"/>
  <c r="I81"/>
  <c r="H81"/>
  <c r="G81"/>
  <c r="F81"/>
  <c r="E81"/>
  <c r="D81"/>
  <c r="C81"/>
  <c r="R80"/>
  <c r="Q80"/>
  <c r="P80"/>
  <c r="O80"/>
  <c r="N80"/>
  <c r="M80"/>
  <c r="L80"/>
  <c r="K80"/>
  <c r="J80"/>
  <c r="I80"/>
  <c r="H80"/>
  <c r="G80"/>
  <c r="F80"/>
  <c r="E80"/>
  <c r="D80"/>
  <c r="C80"/>
  <c r="R79"/>
  <c r="Q79"/>
  <c r="P79"/>
  <c r="O79"/>
  <c r="N79"/>
  <c r="M79"/>
  <c r="L79"/>
  <c r="K79"/>
  <c r="J79"/>
  <c r="I79"/>
  <c r="H79"/>
  <c r="G79"/>
  <c r="F79"/>
  <c r="E79"/>
  <c r="D79"/>
  <c r="C79"/>
  <c r="R78"/>
  <c r="Q78"/>
  <c r="P78"/>
  <c r="O78"/>
  <c r="N78"/>
  <c r="M78"/>
  <c r="L78"/>
  <c r="K78"/>
  <c r="J78"/>
  <c r="I78"/>
  <c r="H78"/>
  <c r="G78"/>
  <c r="F78"/>
  <c r="E78"/>
  <c r="D78"/>
  <c r="C78"/>
  <c r="R77"/>
  <c r="Q77"/>
  <c r="P77"/>
  <c r="O77"/>
  <c r="N77"/>
  <c r="M77"/>
  <c r="L77"/>
  <c r="K77"/>
  <c r="J77"/>
  <c r="I77"/>
  <c r="H77"/>
  <c r="G77"/>
  <c r="F77"/>
  <c r="E77"/>
  <c r="D77"/>
  <c r="C77"/>
  <c r="R76"/>
  <c r="Q76"/>
  <c r="P76"/>
  <c r="O76"/>
  <c r="N76"/>
  <c r="M76"/>
  <c r="L76"/>
  <c r="K76"/>
  <c r="J76"/>
  <c r="I76"/>
  <c r="H76"/>
  <c r="G76"/>
  <c r="F76"/>
  <c r="E76"/>
  <c r="D76"/>
  <c r="C76"/>
  <c r="W74"/>
  <c r="V74"/>
  <c r="R12"/>
  <c r="R38" s="1"/>
  <c r="E100" i="432"/>
  <c r="E93"/>
  <c r="E89"/>
  <c r="D43" i="435" s="1"/>
  <c r="E46" i="432"/>
  <c r="D34" i="435" s="1"/>
  <c r="D56"/>
  <c r="D55"/>
  <c r="D52"/>
  <c r="D46"/>
  <c r="D45"/>
  <c r="D39"/>
  <c r="D37"/>
  <c r="D36"/>
  <c r="D33"/>
  <c r="D119" i="431"/>
  <c r="R39" i="448"/>
  <c r="R37"/>
  <c r="R36"/>
  <c r="R35"/>
  <c r="R34"/>
  <c r="R33"/>
  <c r="R32"/>
  <c r="R31"/>
  <c r="R30"/>
  <c r="I30"/>
  <c r="W73"/>
  <c r="V73"/>
  <c r="W72"/>
  <c r="V72"/>
  <c r="W71"/>
  <c r="V71"/>
  <c r="W70"/>
  <c r="V70"/>
  <c r="W69"/>
  <c r="V69"/>
  <c r="W68"/>
  <c r="V68"/>
  <c r="W67"/>
  <c r="V67"/>
  <c r="W66"/>
  <c r="V66"/>
  <c r="W65"/>
  <c r="V65"/>
  <c r="W64"/>
  <c r="V64"/>
  <c r="D54" i="438"/>
  <c r="D55"/>
  <c r="D53"/>
  <c r="D52"/>
  <c r="D51"/>
  <c r="D50"/>
  <c r="D49"/>
  <c r="D48"/>
  <c r="D47"/>
  <c r="D46"/>
  <c r="D45"/>
  <c r="D43"/>
  <c r="D44"/>
  <c r="E14" i="447"/>
  <c r="E22"/>
  <c r="E17"/>
  <c r="E11"/>
  <c r="C11" s="1"/>
  <c r="E9"/>
  <c r="AG32" i="438"/>
  <c r="AG31"/>
  <c r="AG30"/>
  <c r="AG29"/>
  <c r="AG28"/>
  <c r="AG27"/>
  <c r="AG26"/>
  <c r="AG25"/>
  <c r="AG24"/>
  <c r="AG23"/>
  <c r="AG22"/>
  <c r="AG21"/>
  <c r="AG20"/>
  <c r="AG19"/>
  <c r="AG18"/>
  <c r="AG17"/>
  <c r="AG16"/>
  <c r="AG15"/>
  <c r="AG14"/>
  <c r="AG13"/>
  <c r="AG12"/>
  <c r="AG11"/>
  <c r="AG10"/>
  <c r="AG9"/>
  <c r="AG8"/>
  <c r="AG7"/>
  <c r="AA34"/>
  <c r="AA33"/>
  <c r="AA35" s="1"/>
  <c r="Y6"/>
  <c r="E7" i="396"/>
  <c r="E17"/>
  <c r="E23"/>
  <c r="E31"/>
  <c r="E35"/>
  <c r="E49"/>
  <c r="E54"/>
  <c r="E84"/>
  <c r="E91"/>
  <c r="E94"/>
  <c r="E101"/>
  <c r="E104"/>
  <c r="E108"/>
  <c r="E112"/>
  <c r="E115"/>
  <c r="E118"/>
  <c r="E120"/>
  <c r="E123"/>
  <c r="E127"/>
  <c r="E129"/>
  <c r="E131"/>
  <c r="E133"/>
  <c r="E139"/>
  <c r="E142"/>
  <c r="E156"/>
  <c r="E160"/>
  <c r="E166"/>
  <c r="E168"/>
  <c r="E173"/>
  <c r="E176"/>
  <c r="E179"/>
  <c r="E182"/>
  <c r="E186"/>
  <c r="E189"/>
  <c r="E193"/>
  <c r="E195"/>
  <c r="E197"/>
  <c r="E201"/>
  <c r="E203"/>
  <c r="E206"/>
  <c r="E211"/>
  <c r="E214"/>
  <c r="E216"/>
  <c r="E221"/>
  <c r="E220" s="1"/>
  <c r="E226"/>
  <c r="E229"/>
  <c r="E232"/>
  <c r="E234"/>
  <c r="F7"/>
  <c r="F17"/>
  <c r="F23"/>
  <c r="F31"/>
  <c r="F35"/>
  <c r="F49"/>
  <c r="F54"/>
  <c r="F84"/>
  <c r="F91"/>
  <c r="F94"/>
  <c r="F101"/>
  <c r="F104"/>
  <c r="F108"/>
  <c r="F112"/>
  <c r="F115"/>
  <c r="F118"/>
  <c r="F120"/>
  <c r="F123"/>
  <c r="F127"/>
  <c r="F129"/>
  <c r="F131"/>
  <c r="F133"/>
  <c r="F139"/>
  <c r="F142"/>
  <c r="F156"/>
  <c r="F160"/>
  <c r="F166"/>
  <c r="F168"/>
  <c r="F173"/>
  <c r="F176"/>
  <c r="F179"/>
  <c r="F182"/>
  <c r="F186"/>
  <c r="F189"/>
  <c r="F193"/>
  <c r="F195"/>
  <c r="F197"/>
  <c r="F201"/>
  <c r="F203"/>
  <c r="F206"/>
  <c r="F211"/>
  <c r="F214"/>
  <c r="F216"/>
  <c r="F220"/>
  <c r="F221"/>
  <c r="F226"/>
  <c r="F229"/>
  <c r="F232"/>
  <c r="F234"/>
  <c r="G7"/>
  <c r="G17"/>
  <c r="G23"/>
  <c r="G31"/>
  <c r="G35"/>
  <c r="G49"/>
  <c r="G54"/>
  <c r="G84"/>
  <c r="G91"/>
  <c r="G94"/>
  <c r="G101"/>
  <c r="G104"/>
  <c r="G108"/>
  <c r="G112"/>
  <c r="G115"/>
  <c r="G118"/>
  <c r="G120"/>
  <c r="G123"/>
  <c r="G127"/>
  <c r="G129"/>
  <c r="G131"/>
  <c r="G133"/>
  <c r="G139"/>
  <c r="G142"/>
  <c r="G156"/>
  <c r="G160"/>
  <c r="G166"/>
  <c r="G168"/>
  <c r="G173"/>
  <c r="G176"/>
  <c r="G179"/>
  <c r="G182"/>
  <c r="G186"/>
  <c r="G189"/>
  <c r="G193"/>
  <c r="G195"/>
  <c r="G197"/>
  <c r="G201"/>
  <c r="G203"/>
  <c r="G206"/>
  <c r="G211"/>
  <c r="G214"/>
  <c r="G216"/>
  <c r="G221"/>
  <c r="G220" s="1"/>
  <c r="G226"/>
  <c r="G229"/>
  <c r="G232"/>
  <c r="G234"/>
  <c r="H7"/>
  <c r="H17"/>
  <c r="H23"/>
  <c r="H31"/>
  <c r="H35"/>
  <c r="H49"/>
  <c r="H54"/>
  <c r="H84"/>
  <c r="H91"/>
  <c r="H94"/>
  <c r="H101"/>
  <c r="H104"/>
  <c r="H108"/>
  <c r="H112"/>
  <c r="H115"/>
  <c r="H118"/>
  <c r="H120"/>
  <c r="H123"/>
  <c r="H127"/>
  <c r="H129"/>
  <c r="H131"/>
  <c r="H133"/>
  <c r="H139"/>
  <c r="H142"/>
  <c r="H156"/>
  <c r="H160"/>
  <c r="H166"/>
  <c r="H168"/>
  <c r="H173"/>
  <c r="H176"/>
  <c r="H179"/>
  <c r="H182"/>
  <c r="H186"/>
  <c r="H189"/>
  <c r="H193"/>
  <c r="H195"/>
  <c r="H197"/>
  <c r="H201"/>
  <c r="H203"/>
  <c r="H206"/>
  <c r="H211"/>
  <c r="H214"/>
  <c r="H216"/>
  <c r="H221"/>
  <c r="H220" s="1"/>
  <c r="H226"/>
  <c r="H229"/>
  <c r="H232"/>
  <c r="H234"/>
  <c r="I7"/>
  <c r="I17"/>
  <c r="I23"/>
  <c r="I31"/>
  <c r="I35"/>
  <c r="I49"/>
  <c r="I54"/>
  <c r="I84"/>
  <c r="I91"/>
  <c r="I94"/>
  <c r="I101"/>
  <c r="I104"/>
  <c r="I108"/>
  <c r="I112"/>
  <c r="I115"/>
  <c r="I118"/>
  <c r="I120"/>
  <c r="I123"/>
  <c r="I127"/>
  <c r="I129"/>
  <c r="I131"/>
  <c r="I133"/>
  <c r="I139"/>
  <c r="I142"/>
  <c r="I156"/>
  <c r="I160"/>
  <c r="I166"/>
  <c r="I168"/>
  <c r="I173"/>
  <c r="I176"/>
  <c r="I179"/>
  <c r="I182"/>
  <c r="I186"/>
  <c r="I189"/>
  <c r="I193"/>
  <c r="I195"/>
  <c r="I197"/>
  <c r="I201"/>
  <c r="I203"/>
  <c r="I206"/>
  <c r="I211"/>
  <c r="I214"/>
  <c r="I216"/>
  <c r="I221"/>
  <c r="I220" s="1"/>
  <c r="I226"/>
  <c r="I229"/>
  <c r="I232"/>
  <c r="I234"/>
  <c r="J7"/>
  <c r="J17"/>
  <c r="J23"/>
  <c r="J31"/>
  <c r="J35"/>
  <c r="J49"/>
  <c r="J54"/>
  <c r="J84"/>
  <c r="J91"/>
  <c r="J94"/>
  <c r="J101"/>
  <c r="J104"/>
  <c r="J108"/>
  <c r="J112"/>
  <c r="J115"/>
  <c r="J118"/>
  <c r="J120"/>
  <c r="J123"/>
  <c r="J127"/>
  <c r="J129"/>
  <c r="J131"/>
  <c r="J133"/>
  <c r="J139"/>
  <c r="J142"/>
  <c r="J156"/>
  <c r="J160"/>
  <c r="J166"/>
  <c r="J168"/>
  <c r="J173"/>
  <c r="J176"/>
  <c r="J179"/>
  <c r="J182"/>
  <c r="J186"/>
  <c r="J189"/>
  <c r="J193"/>
  <c r="J195"/>
  <c r="J197"/>
  <c r="J201"/>
  <c r="J203"/>
  <c r="J206"/>
  <c r="J211"/>
  <c r="J214"/>
  <c r="J216"/>
  <c r="J221"/>
  <c r="J220" s="1"/>
  <c r="J226"/>
  <c r="J229"/>
  <c r="J232"/>
  <c r="J234"/>
  <c r="K5"/>
  <c r="K4"/>
  <c r="K7"/>
  <c r="K17"/>
  <c r="K23"/>
  <c r="K31"/>
  <c r="K35"/>
  <c r="K49"/>
  <c r="K54"/>
  <c r="K84"/>
  <c r="K91"/>
  <c r="K94"/>
  <c r="K101"/>
  <c r="K104"/>
  <c r="K108"/>
  <c r="L5"/>
  <c r="L4"/>
  <c r="L7"/>
  <c r="L17"/>
  <c r="L23"/>
  <c r="L31"/>
  <c r="L35"/>
  <c r="L49"/>
  <c r="L54"/>
  <c r="L84"/>
  <c r="L91"/>
  <c r="L94"/>
  <c r="L101"/>
  <c r="L104"/>
  <c r="L108"/>
  <c r="M5"/>
  <c r="M4"/>
  <c r="M7"/>
  <c r="M17"/>
  <c r="M23"/>
  <c r="M31"/>
  <c r="M35"/>
  <c r="M49"/>
  <c r="M54"/>
  <c r="M84"/>
  <c r="M91"/>
  <c r="M94"/>
  <c r="M101"/>
  <c r="M104"/>
  <c r="M108"/>
  <c r="N5"/>
  <c r="N4"/>
  <c r="N7"/>
  <c r="N17"/>
  <c r="N23"/>
  <c r="N31"/>
  <c r="N35"/>
  <c r="N49"/>
  <c r="N54"/>
  <c r="N84"/>
  <c r="N91"/>
  <c r="N94"/>
  <c r="N101"/>
  <c r="N104"/>
  <c r="N108"/>
  <c r="O5"/>
  <c r="O4"/>
  <c r="O7"/>
  <c r="O17"/>
  <c r="O23"/>
  <c r="O31"/>
  <c r="O35"/>
  <c r="O49"/>
  <c r="O54"/>
  <c r="O84"/>
  <c r="O91"/>
  <c r="O94"/>
  <c r="O101"/>
  <c r="O104"/>
  <c r="O108"/>
  <c r="O112"/>
  <c r="O115"/>
  <c r="O118"/>
  <c r="O120"/>
  <c r="O123"/>
  <c r="O127"/>
  <c r="O129"/>
  <c r="O131"/>
  <c r="O133"/>
  <c r="O139"/>
  <c r="O142"/>
  <c r="O156"/>
  <c r="O160"/>
  <c r="O166"/>
  <c r="O168"/>
  <c r="O173"/>
  <c r="O176"/>
  <c r="O179"/>
  <c r="O182"/>
  <c r="O186"/>
  <c r="O189"/>
  <c r="O193"/>
  <c r="O195"/>
  <c r="O197"/>
  <c r="O201"/>
  <c r="O203"/>
  <c r="O206"/>
  <c r="O211"/>
  <c r="O214"/>
  <c r="O216"/>
  <c r="O221"/>
  <c r="O220" s="1"/>
  <c r="O229"/>
  <c r="O232"/>
  <c r="O234"/>
  <c r="P5"/>
  <c r="P4"/>
  <c r="P7"/>
  <c r="P17"/>
  <c r="P23"/>
  <c r="P31"/>
  <c r="P35"/>
  <c r="P49"/>
  <c r="P54"/>
  <c r="P84"/>
  <c r="P91"/>
  <c r="P94"/>
  <c r="P101"/>
  <c r="P104"/>
  <c r="P108"/>
  <c r="P112"/>
  <c r="P115"/>
  <c r="P118"/>
  <c r="P120"/>
  <c r="P123"/>
  <c r="P127"/>
  <c r="P129"/>
  <c r="P131"/>
  <c r="P133"/>
  <c r="P139"/>
  <c r="P142"/>
  <c r="P156"/>
  <c r="P160"/>
  <c r="P166"/>
  <c r="P168"/>
  <c r="P173"/>
  <c r="P176"/>
  <c r="P179"/>
  <c r="P182"/>
  <c r="P186"/>
  <c r="P189"/>
  <c r="P193"/>
  <c r="P195"/>
  <c r="P197"/>
  <c r="P201"/>
  <c r="P203"/>
  <c r="P206"/>
  <c r="P211"/>
  <c r="P214"/>
  <c r="P216"/>
  <c r="P221"/>
  <c r="P220" s="1"/>
  <c r="P229"/>
  <c r="P232"/>
  <c r="P234"/>
  <c r="Q5"/>
  <c r="Q4"/>
  <c r="Q7"/>
  <c r="Q17"/>
  <c r="Q23"/>
  <c r="Q31"/>
  <c r="Q35"/>
  <c r="Q49"/>
  <c r="Q54"/>
  <c r="Q84"/>
  <c r="Q91"/>
  <c r="Q94"/>
  <c r="Q101"/>
  <c r="Q104"/>
  <c r="Q108"/>
  <c r="Q112"/>
  <c r="Q115"/>
  <c r="Q118"/>
  <c r="Q120"/>
  <c r="Q123"/>
  <c r="Q127"/>
  <c r="Q129"/>
  <c r="Q131"/>
  <c r="Q133"/>
  <c r="Q139"/>
  <c r="Q142"/>
  <c r="Q156"/>
  <c r="Q160"/>
  <c r="Q166"/>
  <c r="Q168"/>
  <c r="Q173"/>
  <c r="Q176"/>
  <c r="Q179"/>
  <c r="Q182"/>
  <c r="Q186"/>
  <c r="Q189"/>
  <c r="Q193"/>
  <c r="Q195"/>
  <c r="Q197"/>
  <c r="Q201"/>
  <c r="Q203"/>
  <c r="Q206"/>
  <c r="Q211"/>
  <c r="Q214"/>
  <c r="Q216"/>
  <c r="Q221"/>
  <c r="Q220" s="1"/>
  <c r="Q229"/>
  <c r="Q232"/>
  <c r="Q234"/>
  <c r="R5"/>
  <c r="R4"/>
  <c r="R7"/>
  <c r="R17"/>
  <c r="R23"/>
  <c r="R31"/>
  <c r="R35"/>
  <c r="R49"/>
  <c r="R54"/>
  <c r="R84"/>
  <c r="R91"/>
  <c r="R94"/>
  <c r="R101"/>
  <c r="R104"/>
  <c r="R108"/>
  <c r="R112"/>
  <c r="R115"/>
  <c r="R118"/>
  <c r="R120"/>
  <c r="R123"/>
  <c r="R127"/>
  <c r="R129"/>
  <c r="R131"/>
  <c r="R133"/>
  <c r="R139"/>
  <c r="R142"/>
  <c r="R156"/>
  <c r="R160"/>
  <c r="R166"/>
  <c r="R168"/>
  <c r="R173"/>
  <c r="R176"/>
  <c r="R179"/>
  <c r="R182"/>
  <c r="R186"/>
  <c r="R189"/>
  <c r="R193"/>
  <c r="R195"/>
  <c r="R197"/>
  <c r="R201"/>
  <c r="R203"/>
  <c r="R206"/>
  <c r="R211"/>
  <c r="R214"/>
  <c r="R216"/>
  <c r="R221"/>
  <c r="R220" s="1"/>
  <c r="R229"/>
  <c r="R232"/>
  <c r="R234"/>
  <c r="S5"/>
  <c r="S4"/>
  <c r="S7"/>
  <c r="S17"/>
  <c r="S23"/>
  <c r="S31"/>
  <c r="S35"/>
  <c r="S49"/>
  <c r="S54"/>
  <c r="S84"/>
  <c r="S91"/>
  <c r="S94"/>
  <c r="S101"/>
  <c r="S104"/>
  <c r="S108"/>
  <c r="S112"/>
  <c r="S115"/>
  <c r="S118"/>
  <c r="S120"/>
  <c r="S123"/>
  <c r="S127"/>
  <c r="S129"/>
  <c r="S131"/>
  <c r="S133"/>
  <c r="S139"/>
  <c r="S142"/>
  <c r="S156"/>
  <c r="S160"/>
  <c r="S166"/>
  <c r="S168"/>
  <c r="S173"/>
  <c r="S176"/>
  <c r="S179"/>
  <c r="S182"/>
  <c r="S186"/>
  <c r="S189"/>
  <c r="S193"/>
  <c r="S195"/>
  <c r="S197"/>
  <c r="S201"/>
  <c r="S203"/>
  <c r="S206"/>
  <c r="S211"/>
  <c r="S214"/>
  <c r="S216"/>
  <c r="S221"/>
  <c r="S220" s="1"/>
  <c r="S229"/>
  <c r="S232"/>
  <c r="S234"/>
  <c r="T5"/>
  <c r="D503" i="431"/>
  <c r="D20" i="435" s="1"/>
  <c r="D81" s="1"/>
  <c r="D490" i="431"/>
  <c r="D496"/>
  <c r="D485"/>
  <c r="D482"/>
  <c r="D475"/>
  <c r="S463"/>
  <c r="R463"/>
  <c r="Q463"/>
  <c r="P463"/>
  <c r="O463"/>
  <c r="N463"/>
  <c r="M463"/>
  <c r="L463"/>
  <c r="K463"/>
  <c r="J463"/>
  <c r="I463"/>
  <c r="H463"/>
  <c r="G463"/>
  <c r="F463"/>
  <c r="D463"/>
  <c r="D452"/>
  <c r="D447"/>
  <c r="D444"/>
  <c r="D436"/>
  <c r="S427"/>
  <c r="R427"/>
  <c r="Q427"/>
  <c r="P427"/>
  <c r="O427"/>
  <c r="N427"/>
  <c r="M427"/>
  <c r="L427"/>
  <c r="K427"/>
  <c r="J427"/>
  <c r="I427"/>
  <c r="H427"/>
  <c r="G427"/>
  <c r="F427"/>
  <c r="D427"/>
  <c r="D422"/>
  <c r="D416"/>
  <c r="D413"/>
  <c r="D410"/>
  <c r="D405"/>
  <c r="D395"/>
  <c r="S374"/>
  <c r="R374"/>
  <c r="Q374"/>
  <c r="P374"/>
  <c r="O374"/>
  <c r="N374"/>
  <c r="M374"/>
  <c r="L374"/>
  <c r="K374"/>
  <c r="J374"/>
  <c r="I374"/>
  <c r="H374"/>
  <c r="G374"/>
  <c r="F374"/>
  <c r="E374"/>
  <c r="D364"/>
  <c r="D358"/>
  <c r="D351"/>
  <c r="D339"/>
  <c r="D336"/>
  <c r="D319"/>
  <c r="S311"/>
  <c r="R311"/>
  <c r="Q311"/>
  <c r="P311"/>
  <c r="O311"/>
  <c r="N311"/>
  <c r="M311"/>
  <c r="L311"/>
  <c r="K311"/>
  <c r="J311"/>
  <c r="I311"/>
  <c r="H311"/>
  <c r="G311"/>
  <c r="F311"/>
  <c r="E311"/>
  <c r="D311"/>
  <c r="D305"/>
  <c r="D14" i="435" s="1"/>
  <c r="D75" s="1"/>
  <c r="D289" i="431"/>
  <c r="D13" i="435" s="1"/>
  <c r="D74" s="1"/>
  <c r="D280" i="431"/>
  <c r="S222"/>
  <c r="R222"/>
  <c r="Q222"/>
  <c r="P222"/>
  <c r="O222"/>
  <c r="N222"/>
  <c r="M222"/>
  <c r="L222"/>
  <c r="K222"/>
  <c r="J222"/>
  <c r="I222"/>
  <c r="H222"/>
  <c r="G222"/>
  <c r="F222"/>
  <c r="D222"/>
  <c r="D212"/>
  <c r="D206"/>
  <c r="D199"/>
  <c r="S191"/>
  <c r="R191"/>
  <c r="Q191"/>
  <c r="P191"/>
  <c r="O191"/>
  <c r="N191"/>
  <c r="M191"/>
  <c r="L191"/>
  <c r="K191"/>
  <c r="J191"/>
  <c r="I191"/>
  <c r="H191"/>
  <c r="G191"/>
  <c r="F191"/>
  <c r="D191"/>
  <c r="D185"/>
  <c r="D171"/>
  <c r="D169" s="1"/>
  <c r="D166"/>
  <c r="D158"/>
  <c r="D143"/>
  <c r="D137"/>
  <c r="D130"/>
  <c r="S126"/>
  <c r="R126"/>
  <c r="Q126"/>
  <c r="P126"/>
  <c r="O126"/>
  <c r="N126"/>
  <c r="M126"/>
  <c r="L126"/>
  <c r="K126"/>
  <c r="J126"/>
  <c r="I126"/>
  <c r="H126"/>
  <c r="G126"/>
  <c r="F119"/>
  <c r="E119"/>
  <c r="F116"/>
  <c r="E116"/>
  <c r="D116"/>
  <c r="D111"/>
  <c r="E111"/>
  <c r="F111"/>
  <c r="D107"/>
  <c r="D99"/>
  <c r="D95"/>
  <c r="D87"/>
  <c r="D58"/>
  <c r="D39"/>
  <c r="D34"/>
  <c r="D18"/>
  <c r="D10"/>
  <c r="E131" i="432"/>
  <c r="D54" i="435" s="1"/>
  <c r="E121" i="432"/>
  <c r="D51" i="435" s="1"/>
  <c r="G121" i="432"/>
  <c r="E118"/>
  <c r="D50" i="435" s="1"/>
  <c r="F118" i="432"/>
  <c r="G118"/>
  <c r="E112"/>
  <c r="D49" i="435" s="1"/>
  <c r="E104" i="432"/>
  <c r="D47" i="435" s="1"/>
  <c r="E97" i="432"/>
  <c r="F97"/>
  <c r="G97"/>
  <c r="H97"/>
  <c r="E86"/>
  <c r="E85" s="1"/>
  <c r="E83"/>
  <c r="D40" i="435" s="1"/>
  <c r="G80" i="432"/>
  <c r="E78"/>
  <c r="E59" s="1"/>
  <c r="F78"/>
  <c r="F59" s="1"/>
  <c r="G78"/>
  <c r="E36"/>
  <c r="D31" i="435" s="1"/>
  <c r="E14" i="432"/>
  <c r="D28" i="435" s="1"/>
  <c r="E39" i="432"/>
  <c r="D32" i="435" s="1"/>
  <c r="E28" i="432"/>
  <c r="D30" i="435" s="1"/>
  <c r="E17" i="432"/>
  <c r="D29" i="435" s="1"/>
  <c r="E9" i="432"/>
  <c r="H8"/>
  <c r="S24" i="435"/>
  <c r="F4" i="432"/>
  <c r="E4" s="1"/>
  <c r="H3" s="1"/>
  <c r="I3" s="1"/>
  <c r="V29" i="438"/>
  <c r="V31"/>
  <c r="V30"/>
  <c r="D44" i="447" l="1"/>
  <c r="D19"/>
  <c r="G210" i="396"/>
  <c r="F225"/>
  <c r="F210"/>
  <c r="E200"/>
  <c r="C8" i="447"/>
  <c r="D17"/>
  <c r="D4" i="432"/>
  <c r="C4" s="1"/>
  <c r="E37" i="447"/>
  <c r="D37" s="1"/>
  <c r="D38" i="435"/>
  <c r="E130" i="432"/>
  <c r="E7" s="1"/>
  <c r="E88"/>
  <c r="D44" i="435"/>
  <c r="D42" s="1"/>
  <c r="D41"/>
  <c r="D26"/>
  <c r="C9" i="447"/>
  <c r="E16"/>
  <c r="D12"/>
  <c r="D16"/>
  <c r="C14"/>
  <c r="D45"/>
  <c r="E45"/>
  <c r="C7" i="431"/>
  <c r="C362"/>
  <c r="C303"/>
  <c r="B362"/>
  <c r="B8"/>
  <c r="B7" i="435" s="1"/>
  <c r="C480" i="431"/>
  <c r="C19" i="435" s="1"/>
  <c r="C80" s="1"/>
  <c r="B480" i="431"/>
  <c r="B19" i="435" s="1"/>
  <c r="B80" s="1"/>
  <c r="C425" i="431"/>
  <c r="C18" i="435" s="1"/>
  <c r="C79" s="1"/>
  <c r="B425" i="431"/>
  <c r="B18" i="435" s="1"/>
  <c r="B79" s="1"/>
  <c r="C403" i="431"/>
  <c r="C17" i="435" s="1"/>
  <c r="C78" s="1"/>
  <c r="B403" i="431"/>
  <c r="B17" i="435" s="1"/>
  <c r="B78" s="1"/>
  <c r="B303" i="431"/>
  <c r="B15" i="435" s="1"/>
  <c r="B76" s="1"/>
  <c r="B247" i="431"/>
  <c r="C210"/>
  <c r="C11" i="435" s="1"/>
  <c r="C72" s="1"/>
  <c r="B210" i="431"/>
  <c r="C10" i="435"/>
  <c r="C71" s="1"/>
  <c r="B141" i="431"/>
  <c r="B124"/>
  <c r="C8"/>
  <c r="D124"/>
  <c r="D8" i="435" s="1"/>
  <c r="D69" s="1"/>
  <c r="D425" i="431"/>
  <c r="D18" i="435" s="1"/>
  <c r="D79" s="1"/>
  <c r="D8" i="431"/>
  <c r="D403"/>
  <c r="D17" i="435" s="1"/>
  <c r="D78" s="1"/>
  <c r="D480" i="431"/>
  <c r="D19" i="435" s="1"/>
  <c r="D80" s="1"/>
  <c r="D27"/>
  <c r="E210" i="396"/>
  <c r="E225"/>
  <c r="E185"/>
  <c r="E6"/>
  <c r="G200"/>
  <c r="E111"/>
  <c r="E165"/>
  <c r="E126"/>
  <c r="I210"/>
  <c r="F200"/>
  <c r="F111"/>
  <c r="F185"/>
  <c r="F6"/>
  <c r="F165"/>
  <c r="F126"/>
  <c r="H210"/>
  <c r="G225"/>
  <c r="H200"/>
  <c r="G185"/>
  <c r="G6"/>
  <c r="G111"/>
  <c r="G165"/>
  <c r="G126"/>
  <c r="H225"/>
  <c r="H185"/>
  <c r="H6"/>
  <c r="H111"/>
  <c r="H165"/>
  <c r="H126"/>
  <c r="I200"/>
  <c r="I185"/>
  <c r="I6"/>
  <c r="I225"/>
  <c r="I111"/>
  <c r="I165"/>
  <c r="I126"/>
  <c r="J200"/>
  <c r="J185"/>
  <c r="J6"/>
  <c r="J225"/>
  <c r="J111"/>
  <c r="J210"/>
  <c r="J165"/>
  <c r="J126"/>
  <c r="O200"/>
  <c r="O225"/>
  <c r="P225"/>
  <c r="O185"/>
  <c r="P200"/>
  <c r="P111"/>
  <c r="O210"/>
  <c r="O126"/>
  <c r="O165"/>
  <c r="O111"/>
  <c r="Q225"/>
  <c r="Q200"/>
  <c r="Q111"/>
  <c r="P210"/>
  <c r="P126"/>
  <c r="P165"/>
  <c r="R200"/>
  <c r="P185"/>
  <c r="Q210"/>
  <c r="Q126"/>
  <c r="Q165"/>
  <c r="R225"/>
  <c r="Q185"/>
  <c r="R111"/>
  <c r="S225"/>
  <c r="S200"/>
  <c r="S111"/>
  <c r="R210"/>
  <c r="R126"/>
  <c r="R165"/>
  <c r="R185"/>
  <c r="S165"/>
  <c r="S210"/>
  <c r="S126"/>
  <c r="S185"/>
  <c r="D12" i="435"/>
  <c r="D73" s="1"/>
  <c r="D362" i="431"/>
  <c r="D16" i="435" s="1"/>
  <c r="D77" s="1"/>
  <c r="D303" i="431"/>
  <c r="D15" i="435" s="1"/>
  <c r="D76" s="1"/>
  <c r="D141" i="431"/>
  <c r="D9" i="435" s="1"/>
  <c r="D70" s="1"/>
  <c r="D210" i="431"/>
  <c r="D11" i="435" s="1"/>
  <c r="D72" s="1"/>
  <c r="D10"/>
  <c r="D71" s="1"/>
  <c r="F46" i="448"/>
  <c r="D46" s="1"/>
  <c r="D47" s="1"/>
  <c r="F45"/>
  <c r="C41"/>
  <c r="Q39"/>
  <c r="P39"/>
  <c r="O39"/>
  <c r="N39"/>
  <c r="M39"/>
  <c r="L39"/>
  <c r="K39"/>
  <c r="J39"/>
  <c r="I39"/>
  <c r="H39"/>
  <c r="G39"/>
  <c r="F39"/>
  <c r="E39"/>
  <c r="D39"/>
  <c r="Q38"/>
  <c r="P38"/>
  <c r="O38"/>
  <c r="N38"/>
  <c r="M38"/>
  <c r="L38"/>
  <c r="K38"/>
  <c r="J38"/>
  <c r="I38"/>
  <c r="H38"/>
  <c r="G38"/>
  <c r="F38"/>
  <c r="E38"/>
  <c r="D38"/>
  <c r="Q37"/>
  <c r="P37"/>
  <c r="O37"/>
  <c r="M37"/>
  <c r="L37"/>
  <c r="K37"/>
  <c r="J37"/>
  <c r="I37"/>
  <c r="H37"/>
  <c r="G37"/>
  <c r="F37"/>
  <c r="E37"/>
  <c r="D37"/>
  <c r="Q36"/>
  <c r="P36"/>
  <c r="O36"/>
  <c r="Q35"/>
  <c r="P35"/>
  <c r="O35"/>
  <c r="N35"/>
  <c r="M35"/>
  <c r="L35"/>
  <c r="K35"/>
  <c r="J35"/>
  <c r="I35"/>
  <c r="H35"/>
  <c r="G35"/>
  <c r="F35"/>
  <c r="E35"/>
  <c r="D35"/>
  <c r="Q34"/>
  <c r="P34"/>
  <c r="O34"/>
  <c r="N34"/>
  <c r="M34"/>
  <c r="L34"/>
  <c r="K34"/>
  <c r="J34"/>
  <c r="I34"/>
  <c r="H34"/>
  <c r="G34"/>
  <c r="F34"/>
  <c r="E34"/>
  <c r="D34"/>
  <c r="Q33"/>
  <c r="P33"/>
  <c r="O33"/>
  <c r="N33"/>
  <c r="M33"/>
  <c r="L33"/>
  <c r="K33"/>
  <c r="J33"/>
  <c r="I33"/>
  <c r="H33"/>
  <c r="G33"/>
  <c r="F33"/>
  <c r="E33"/>
  <c r="D33"/>
  <c r="Q32"/>
  <c r="P32"/>
  <c r="O32"/>
  <c r="N32"/>
  <c r="M32"/>
  <c r="L32"/>
  <c r="K32"/>
  <c r="J32"/>
  <c r="I32"/>
  <c r="H32"/>
  <c r="G32"/>
  <c r="F32"/>
  <c r="E32"/>
  <c r="D32"/>
  <c r="Q31"/>
  <c r="P31"/>
  <c r="O31"/>
  <c r="N31"/>
  <c r="M31"/>
  <c r="L31"/>
  <c r="K31"/>
  <c r="J31"/>
  <c r="I31"/>
  <c r="H31"/>
  <c r="G31"/>
  <c r="F31"/>
  <c r="E31"/>
  <c r="D31"/>
  <c r="Q30"/>
  <c r="P30"/>
  <c r="O30"/>
  <c r="N30"/>
  <c r="M30"/>
  <c r="L30"/>
  <c r="K30"/>
  <c r="J30"/>
  <c r="H30"/>
  <c r="G30"/>
  <c r="F30"/>
  <c r="E30"/>
  <c r="D30"/>
  <c r="C39"/>
  <c r="C38"/>
  <c r="C37"/>
  <c r="C35"/>
  <c r="C34"/>
  <c r="C33"/>
  <c r="C32"/>
  <c r="C31"/>
  <c r="C30"/>
  <c r="Q16"/>
  <c r="Q29" s="1"/>
  <c r="P16"/>
  <c r="P29" s="1"/>
  <c r="O16"/>
  <c r="O29" s="1"/>
  <c r="N16"/>
  <c r="N29" s="1"/>
  <c r="M16"/>
  <c r="M29" s="1"/>
  <c r="L16"/>
  <c r="L29" s="1"/>
  <c r="K16"/>
  <c r="K29" s="1"/>
  <c r="J16"/>
  <c r="J29" s="1"/>
  <c r="I16"/>
  <c r="I29" s="1"/>
  <c r="H16"/>
  <c r="H29" s="1"/>
  <c r="G16"/>
  <c r="G29" s="1"/>
  <c r="F16"/>
  <c r="F29" s="1"/>
  <c r="E16"/>
  <c r="E29" s="1"/>
  <c r="D16"/>
  <c r="D29" s="1"/>
  <c r="C16"/>
  <c r="C29" s="1"/>
  <c r="D90" i="447"/>
  <c r="D87"/>
  <c r="D86"/>
  <c r="H58"/>
  <c r="H61"/>
  <c r="H64"/>
  <c r="F17"/>
  <c r="G17"/>
  <c r="H17"/>
  <c r="I17"/>
  <c r="J17"/>
  <c r="K17"/>
  <c r="L17"/>
  <c r="M17"/>
  <c r="N17"/>
  <c r="O17"/>
  <c r="P17"/>
  <c r="Q17"/>
  <c r="R17"/>
  <c r="S17"/>
  <c r="T79" i="435" l="1"/>
  <c r="T80"/>
  <c r="O21" i="449"/>
  <c r="Q21" s="1"/>
  <c r="S21" s="1"/>
  <c r="B68" i="435"/>
  <c r="E18" i="447"/>
  <c r="B19" i="449"/>
  <c r="C19" i="447"/>
  <c r="D21" i="449"/>
  <c r="E21" s="1"/>
  <c r="B20"/>
  <c r="D18" i="447"/>
  <c r="B61" i="435"/>
  <c r="C17" i="447"/>
  <c r="V17" s="1"/>
  <c r="C44"/>
  <c r="B44" s="1"/>
  <c r="O96" i="442" s="1"/>
  <c r="C12" i="447"/>
  <c r="C10"/>
  <c r="E50"/>
  <c r="C37"/>
  <c r="C50" s="1"/>
  <c r="D50"/>
  <c r="D88"/>
  <c r="D89" s="1"/>
  <c r="C45"/>
  <c r="C13"/>
  <c r="C16"/>
  <c r="C512" i="431"/>
  <c r="C7" i="435"/>
  <c r="B21"/>
  <c r="D7" i="431"/>
  <c r="C15" i="435"/>
  <c r="B512" i="431"/>
  <c r="B7"/>
  <c r="D7" i="435"/>
  <c r="D512" i="431"/>
  <c r="D57" i="435"/>
  <c r="F37" i="447"/>
  <c r="T68" i="435" l="1"/>
  <c r="T81"/>
  <c r="T71"/>
  <c r="T72"/>
  <c r="T77"/>
  <c r="T74"/>
  <c r="T73"/>
  <c r="T70"/>
  <c r="T69"/>
  <c r="T75"/>
  <c r="T78"/>
  <c r="T76"/>
  <c r="O20" i="449"/>
  <c r="Q20" s="1"/>
  <c r="S20" s="1"/>
  <c r="C68" i="435"/>
  <c r="B58"/>
  <c r="J21" i="449"/>
  <c r="B82" i="435"/>
  <c r="D68"/>
  <c r="O19" i="449"/>
  <c r="Q19" s="1"/>
  <c r="S19" s="1"/>
  <c r="C21" i="435"/>
  <c r="C76"/>
  <c r="C61"/>
  <c r="S40" i="448" s="1"/>
  <c r="C19" i="449"/>
  <c r="C18" i="447"/>
  <c r="B21" i="449"/>
  <c r="C20"/>
  <c r="C46" i="447"/>
  <c r="D61" i="435"/>
  <c r="R40" i="448" s="1"/>
  <c r="D21" i="435"/>
  <c r="F22" i="447"/>
  <c r="G22"/>
  <c r="H22"/>
  <c r="I22"/>
  <c r="J22"/>
  <c r="K22"/>
  <c r="L22"/>
  <c r="M22"/>
  <c r="N22"/>
  <c r="O22"/>
  <c r="P22"/>
  <c r="Q22"/>
  <c r="R22"/>
  <c r="S22"/>
  <c r="T22"/>
  <c r="G14"/>
  <c r="H14"/>
  <c r="I14"/>
  <c r="J14"/>
  <c r="K14"/>
  <c r="L14"/>
  <c r="M14"/>
  <c r="N14"/>
  <c r="O14"/>
  <c r="P14"/>
  <c r="Q14"/>
  <c r="R14"/>
  <c r="S14"/>
  <c r="T14"/>
  <c r="J12"/>
  <c r="L12"/>
  <c r="M12"/>
  <c r="N12"/>
  <c r="O12"/>
  <c r="P12"/>
  <c r="Q12"/>
  <c r="R12"/>
  <c r="S12"/>
  <c r="T12"/>
  <c r="F11"/>
  <c r="G11"/>
  <c r="J10"/>
  <c r="K10"/>
  <c r="L10"/>
  <c r="M10"/>
  <c r="N10"/>
  <c r="O10"/>
  <c r="P10"/>
  <c r="Q10"/>
  <c r="R10"/>
  <c r="S10"/>
  <c r="T10"/>
  <c r="F9"/>
  <c r="C82" i="435" l="1"/>
  <c r="J20" i="449"/>
  <c r="N21"/>
  <c r="F21"/>
  <c r="L21"/>
  <c r="H21" s="1"/>
  <c r="I21" s="1"/>
  <c r="E46" i="447"/>
  <c r="E47" s="1"/>
  <c r="E48" s="1"/>
  <c r="D82" i="435"/>
  <c r="J19" i="449"/>
  <c r="D46" i="447"/>
  <c r="D47" s="1"/>
  <c r="D49" s="1"/>
  <c r="C58" i="435"/>
  <c r="C21" i="449"/>
  <c r="D48" i="447"/>
  <c r="D58" i="435"/>
  <c r="S101" i="442"/>
  <c r="C47" i="447"/>
  <c r="T45"/>
  <c r="B45" s="1"/>
  <c r="O97" i="442" s="1"/>
  <c r="T16" i="447"/>
  <c r="P45"/>
  <c r="P16"/>
  <c r="L16"/>
  <c r="L45"/>
  <c r="H45"/>
  <c r="H16"/>
  <c r="Q45"/>
  <c r="Q16"/>
  <c r="M45"/>
  <c r="M16"/>
  <c r="I45"/>
  <c r="I16"/>
  <c r="R45"/>
  <c r="R16"/>
  <c r="N45"/>
  <c r="N16"/>
  <c r="J45"/>
  <c r="J16"/>
  <c r="S16"/>
  <c r="S45"/>
  <c r="O16"/>
  <c r="O45"/>
  <c r="K16"/>
  <c r="K45"/>
  <c r="G16"/>
  <c r="G45"/>
  <c r="F14"/>
  <c r="F45" s="1"/>
  <c r="E49" l="1"/>
  <c r="M21" i="449"/>
  <c r="F19"/>
  <c r="L19"/>
  <c r="N19"/>
  <c r="F20"/>
  <c r="N20"/>
  <c r="L20"/>
  <c r="C48" i="447"/>
  <c r="S103" i="442"/>
  <c r="C49" i="447"/>
  <c r="F16"/>
  <c r="Y32" i="438"/>
  <c r="Y31"/>
  <c r="Y30"/>
  <c r="Y29"/>
  <c r="Y33" s="1"/>
  <c r="Y28"/>
  <c r="Y27"/>
  <c r="Y26"/>
  <c r="Y25"/>
  <c r="Y24"/>
  <c r="Y23"/>
  <c r="Y22"/>
  <c r="Y21"/>
  <c r="Y20"/>
  <c r="Y19"/>
  <c r="Y18"/>
  <c r="Y17"/>
  <c r="Y16"/>
  <c r="Y15"/>
  <c r="Y14"/>
  <c r="Y13"/>
  <c r="Y12"/>
  <c r="Y11"/>
  <c r="Y10"/>
  <c r="Y9"/>
  <c r="Y8"/>
  <c r="Y7"/>
  <c r="X34"/>
  <c r="X33"/>
  <c r="V6"/>
  <c r="V7"/>
  <c r="V8"/>
  <c r="V9"/>
  <c r="V10"/>
  <c r="V11"/>
  <c r="V12"/>
  <c r="V13"/>
  <c r="V14"/>
  <c r="V15"/>
  <c r="V16"/>
  <c r="V17"/>
  <c r="V18"/>
  <c r="V19"/>
  <c r="V20"/>
  <c r="V21"/>
  <c r="V22"/>
  <c r="V23"/>
  <c r="V24"/>
  <c r="V25"/>
  <c r="V26"/>
  <c r="V27"/>
  <c r="B33"/>
  <c r="B35" s="1"/>
  <c r="D33"/>
  <c r="F33"/>
  <c r="F35" s="1"/>
  <c r="H33"/>
  <c r="J33"/>
  <c r="L33"/>
  <c r="N33"/>
  <c r="N35" s="1"/>
  <c r="P33"/>
  <c r="R33"/>
  <c r="R35" s="1"/>
  <c r="T33"/>
  <c r="V33"/>
  <c r="B34"/>
  <c r="D34"/>
  <c r="F34"/>
  <c r="H34"/>
  <c r="J34"/>
  <c r="L34"/>
  <c r="L35" s="1"/>
  <c r="N34"/>
  <c r="P34"/>
  <c r="R34"/>
  <c r="T34"/>
  <c r="D35"/>
  <c r="J35"/>
  <c r="T35"/>
  <c r="C41"/>
  <c r="C42"/>
  <c r="C43" s="1"/>
  <c r="C44" s="1"/>
  <c r="C45" s="1"/>
  <c r="C46" s="1"/>
  <c r="C47" s="1"/>
  <c r="C48" s="1"/>
  <c r="C49" s="1"/>
  <c r="C50" s="1"/>
  <c r="C51" s="1"/>
  <c r="C52" s="1"/>
  <c r="H20" i="449" l="1"/>
  <c r="I20" s="1"/>
  <c r="M20"/>
  <c r="H19"/>
  <c r="I19" s="1"/>
  <c r="M19"/>
  <c r="H101" i="442"/>
  <c r="H99"/>
  <c r="V18" i="447"/>
  <c r="X35" i="438"/>
  <c r="Y34"/>
  <c r="Y35" s="1"/>
  <c r="P35"/>
  <c r="H35"/>
  <c r="V34"/>
  <c r="V35" s="1"/>
  <c r="H24" i="435"/>
  <c r="I24"/>
  <c r="F36" i="432"/>
  <c r="E31" i="435" s="1"/>
  <c r="G36" i="432"/>
  <c r="F31" i="435" s="1"/>
  <c r="H36" i="432"/>
  <c r="G31" i="435" s="1"/>
  <c r="I36" i="432"/>
  <c r="H31" i="435" s="1"/>
  <c r="J36" i="432"/>
  <c r="I31" i="435" s="1"/>
  <c r="K36" i="432"/>
  <c r="J31" i="435" s="1"/>
  <c r="L36" i="432"/>
  <c r="K31" i="435" s="1"/>
  <c r="M36" i="432"/>
  <c r="L31" i="435" s="1"/>
  <c r="N36" i="432"/>
  <c r="M31" i="435" s="1"/>
  <c r="O36" i="432"/>
  <c r="N31" i="435" s="1"/>
  <c r="P36" i="432"/>
  <c r="O31" i="435" s="1"/>
  <c r="Q36" i="432"/>
  <c r="P31" i="435" s="1"/>
  <c r="R36" i="432"/>
  <c r="Q31" i="435" s="1"/>
  <c r="S36" i="432"/>
  <c r="R31" i="435" s="1"/>
  <c r="F28" i="432"/>
  <c r="E30" i="435" s="1"/>
  <c r="G28" i="432"/>
  <c r="F30" i="435" s="1"/>
  <c r="H28" i="432"/>
  <c r="G30" i="435" s="1"/>
  <c r="I28" i="432"/>
  <c r="H30" i="435" s="1"/>
  <c r="J28" i="432"/>
  <c r="I30" i="435" s="1"/>
  <c r="K28" i="432"/>
  <c r="J30" i="435" s="1"/>
  <c r="L28" i="432"/>
  <c r="K30" i="435" s="1"/>
  <c r="M28" i="432"/>
  <c r="L30" i="435" s="1"/>
  <c r="N28" i="432"/>
  <c r="M30" i="435" s="1"/>
  <c r="O28" i="432"/>
  <c r="N30" i="435" s="1"/>
  <c r="P28" i="432"/>
  <c r="O30" i="435" s="1"/>
  <c r="Q28" i="432"/>
  <c r="P30" i="435" s="1"/>
  <c r="R28" i="432"/>
  <c r="Q30" i="435" s="1"/>
  <c r="S28" i="432"/>
  <c r="E37" i="435"/>
  <c r="G64" i="432"/>
  <c r="F37" i="435" s="1"/>
  <c r="H64" i="432"/>
  <c r="G37" i="435" s="1"/>
  <c r="I64" i="432"/>
  <c r="J64"/>
  <c r="I37" i="435" s="1"/>
  <c r="K64" i="432"/>
  <c r="J37" i="435" s="1"/>
  <c r="L64" i="432"/>
  <c r="K37" i="435" s="1"/>
  <c r="M64" i="432"/>
  <c r="N64"/>
  <c r="M37" i="435" s="1"/>
  <c r="O64" i="432"/>
  <c r="P64"/>
  <c r="O37" i="435" s="1"/>
  <c r="Q64" i="432"/>
  <c r="R64"/>
  <c r="Q37" i="435" s="1"/>
  <c r="S64" i="432"/>
  <c r="R37" i="435" s="1"/>
  <c r="T64" i="432"/>
  <c r="E36" i="435"/>
  <c r="G60" i="432"/>
  <c r="F36" i="435" s="1"/>
  <c r="H60" i="432"/>
  <c r="G36" i="435" s="1"/>
  <c r="I60" i="432"/>
  <c r="H36" i="435" s="1"/>
  <c r="J60" i="432"/>
  <c r="I36" i="435" s="1"/>
  <c r="K60" i="432"/>
  <c r="J36" i="435" s="1"/>
  <c r="L60" i="432"/>
  <c r="K36" i="435" s="1"/>
  <c r="M60" i="432"/>
  <c r="L36" i="435" s="1"/>
  <c r="N60" i="432"/>
  <c r="M36" i="435" s="1"/>
  <c r="O60" i="432"/>
  <c r="N36" i="435" s="1"/>
  <c r="P60" i="432"/>
  <c r="O36" i="435" s="1"/>
  <c r="Q60" i="432"/>
  <c r="R60"/>
  <c r="S60"/>
  <c r="T60"/>
  <c r="S37" i="435"/>
  <c r="P52"/>
  <c r="Q52"/>
  <c r="R52"/>
  <c r="P49"/>
  <c r="R30"/>
  <c r="S52"/>
  <c r="S32"/>
  <c r="S29"/>
  <c r="E199" i="431"/>
  <c r="F199"/>
  <c r="G199"/>
  <c r="H199"/>
  <c r="I199"/>
  <c r="J199"/>
  <c r="K199"/>
  <c r="L199"/>
  <c r="M199"/>
  <c r="N199"/>
  <c r="O199"/>
  <c r="P199"/>
  <c r="Q199"/>
  <c r="R199"/>
  <c r="S199"/>
  <c r="T140" i="432"/>
  <c r="S56" i="435" s="1"/>
  <c r="S140" i="432"/>
  <c r="R56" i="435" s="1"/>
  <c r="R140" i="432"/>
  <c r="Q56" i="435" s="1"/>
  <c r="Q140" i="432"/>
  <c r="P56" i="435" s="1"/>
  <c r="T136" i="432"/>
  <c r="S55" i="435" s="1"/>
  <c r="S136" i="432"/>
  <c r="R55" i="435" s="1"/>
  <c r="R136" i="432"/>
  <c r="Q55" i="435" s="1"/>
  <c r="Q136" i="432"/>
  <c r="P55" i="435" s="1"/>
  <c r="T131" i="432"/>
  <c r="S54" i="435" s="1"/>
  <c r="S131" i="432"/>
  <c r="S130" s="1"/>
  <c r="R131"/>
  <c r="R130" s="1"/>
  <c r="Q131"/>
  <c r="P54" i="435" s="1"/>
  <c r="T121" i="432"/>
  <c r="S51" i="435" s="1"/>
  <c r="S121" i="432"/>
  <c r="R51" i="435" s="1"/>
  <c r="R121" i="432"/>
  <c r="Q51" i="435" s="1"/>
  <c r="Q121" i="432"/>
  <c r="P51" i="435" s="1"/>
  <c r="T118" i="432"/>
  <c r="S50" i="435" s="1"/>
  <c r="S118" i="432"/>
  <c r="R50" i="435" s="1"/>
  <c r="R118" i="432"/>
  <c r="Q50" i="435" s="1"/>
  <c r="Q118" i="432"/>
  <c r="P50" i="435" s="1"/>
  <c r="T112" i="432"/>
  <c r="T111" s="1"/>
  <c r="S112"/>
  <c r="R49" i="435" s="1"/>
  <c r="R112" i="432"/>
  <c r="Q49" i="435" s="1"/>
  <c r="Q112" i="432"/>
  <c r="T104"/>
  <c r="S47" i="435" s="1"/>
  <c r="S104" i="432"/>
  <c r="R47" i="435" s="1"/>
  <c r="R104" i="432"/>
  <c r="Q47" i="435" s="1"/>
  <c r="Q104" i="432"/>
  <c r="P47" i="435" s="1"/>
  <c r="T100" i="432"/>
  <c r="S46" i="435" s="1"/>
  <c r="S100" i="432"/>
  <c r="R46" i="435" s="1"/>
  <c r="R100" i="432"/>
  <c r="Q46" i="435" s="1"/>
  <c r="Q100" i="432"/>
  <c r="P46" i="435" s="1"/>
  <c r="T97" i="432"/>
  <c r="S45" i="435" s="1"/>
  <c r="S97" i="432"/>
  <c r="R45" i="435" s="1"/>
  <c r="R97" i="432"/>
  <c r="Q45" i="435" s="1"/>
  <c r="Q97" i="432"/>
  <c r="P45" i="435" s="1"/>
  <c r="T93" i="432"/>
  <c r="S44" i="435" s="1"/>
  <c r="S93" i="432"/>
  <c r="R44" i="435" s="1"/>
  <c r="R93" i="432"/>
  <c r="Q44" i="435" s="1"/>
  <c r="Q93" i="432"/>
  <c r="P44" i="435" s="1"/>
  <c r="T89" i="432"/>
  <c r="T88" s="1"/>
  <c r="S89"/>
  <c r="S88" s="1"/>
  <c r="R89"/>
  <c r="Q43" i="435" s="1"/>
  <c r="Q89" i="432"/>
  <c r="P43" i="435" s="1"/>
  <c r="T86" i="432"/>
  <c r="T85" s="1"/>
  <c r="S86"/>
  <c r="S85" s="1"/>
  <c r="R86"/>
  <c r="R85" s="1"/>
  <c r="Q86"/>
  <c r="Q85" s="1"/>
  <c r="T83"/>
  <c r="S40" i="435" s="1"/>
  <c r="T80" i="432"/>
  <c r="S39" i="435" s="1"/>
  <c r="T78" i="432"/>
  <c r="S38" i="435" s="1"/>
  <c r="S36"/>
  <c r="T46" i="432"/>
  <c r="S34" i="435" s="1"/>
  <c r="T43" i="432"/>
  <c r="S33" i="435" s="1"/>
  <c r="T36" i="432"/>
  <c r="S31" i="435" s="1"/>
  <c r="T28" i="432"/>
  <c r="S30" i="435" s="1"/>
  <c r="T14" i="432"/>
  <c r="S28" i="435" s="1"/>
  <c r="T9" i="432"/>
  <c r="T8" s="1"/>
  <c r="Q83"/>
  <c r="P40" i="435" s="1"/>
  <c r="Q80" i="432"/>
  <c r="P39" i="435" s="1"/>
  <c r="Q78" i="432"/>
  <c r="P38" i="435" s="1"/>
  <c r="R83" i="432"/>
  <c r="Q40" i="435" s="1"/>
  <c r="R80" i="432"/>
  <c r="Q39" i="435" s="1"/>
  <c r="R78" i="432"/>
  <c r="S83"/>
  <c r="R40" i="435" s="1"/>
  <c r="S80" i="432"/>
  <c r="R39" i="435" s="1"/>
  <c r="S78" i="432"/>
  <c r="R38" i="435" s="1"/>
  <c r="Q43" i="432"/>
  <c r="P33" i="435" s="1"/>
  <c r="Q14" i="432"/>
  <c r="P28" i="435" s="1"/>
  <c r="R43" i="432"/>
  <c r="Q33" i="435" s="1"/>
  <c r="R14" i="432"/>
  <c r="Q28" i="435" s="1"/>
  <c r="S43" i="432"/>
  <c r="R33" i="435" s="1"/>
  <c r="S39" i="432"/>
  <c r="R32" i="435" s="1"/>
  <c r="S14" i="432"/>
  <c r="R28" i="435" s="1"/>
  <c r="S9" i="432"/>
  <c r="S8" s="1"/>
  <c r="F17"/>
  <c r="E29" i="435" s="1"/>
  <c r="G17" i="432"/>
  <c r="F29" i="435" s="1"/>
  <c r="H17" i="432"/>
  <c r="G29" i="435" s="1"/>
  <c r="I17" i="432"/>
  <c r="H29" i="435" s="1"/>
  <c r="J17" i="432"/>
  <c r="I29" i="435" s="1"/>
  <c r="K17" i="432"/>
  <c r="J29" i="435" s="1"/>
  <c r="L17" i="432"/>
  <c r="K29" i="435" s="1"/>
  <c r="M17" i="432"/>
  <c r="L29" i="435" s="1"/>
  <c r="N127" i="432"/>
  <c r="M52" i="435" s="1"/>
  <c r="O127" i="432"/>
  <c r="N52" i="435" s="1"/>
  <c r="P127" i="432"/>
  <c r="O52" i="435" s="1"/>
  <c r="N86" i="432"/>
  <c r="N85" s="1"/>
  <c r="O86"/>
  <c r="O85" s="1"/>
  <c r="P86"/>
  <c r="P85" s="1"/>
  <c r="N83"/>
  <c r="M40" i="435" s="1"/>
  <c r="N80" i="432"/>
  <c r="M39" i="435" s="1"/>
  <c r="O83" i="432"/>
  <c r="N40" i="435" s="1"/>
  <c r="O80" i="432"/>
  <c r="N39" i="435" s="1"/>
  <c r="N78" i="432"/>
  <c r="M38" i="435" s="1"/>
  <c r="O78" i="432"/>
  <c r="N38" i="435" s="1"/>
  <c r="P83" i="432"/>
  <c r="O40" i="435" s="1"/>
  <c r="P80" i="432"/>
  <c r="O39" i="435" s="1"/>
  <c r="P78" i="432"/>
  <c r="O38" i="435" s="1"/>
  <c r="N43" i="432"/>
  <c r="M33" i="435" s="1"/>
  <c r="O43" i="432"/>
  <c r="N33" i="435" s="1"/>
  <c r="P43" i="432"/>
  <c r="O33" i="435" s="1"/>
  <c r="N9" i="432"/>
  <c r="N8" s="1"/>
  <c r="O9"/>
  <c r="O8" s="1"/>
  <c r="N14"/>
  <c r="M28" i="435" s="1"/>
  <c r="O14" i="432"/>
  <c r="N28" i="435" s="1"/>
  <c r="P14" i="432"/>
  <c r="O28" i="435" s="1"/>
  <c r="P9" i="432"/>
  <c r="P8" s="1"/>
  <c r="M43"/>
  <c r="L33" i="435" s="1"/>
  <c r="M39" i="432"/>
  <c r="L32" i="435" s="1"/>
  <c r="M9" i="432"/>
  <c r="M8" s="1"/>
  <c r="L9"/>
  <c r="L8" s="1"/>
  <c r="E56" i="435"/>
  <c r="G140" i="432"/>
  <c r="F56" i="435" s="1"/>
  <c r="H140" i="432"/>
  <c r="G56" i="435" s="1"/>
  <c r="I140" i="432"/>
  <c r="H56" i="435" s="1"/>
  <c r="J140" i="432"/>
  <c r="I56" i="435" s="1"/>
  <c r="K140" i="432"/>
  <c r="J56" i="435" s="1"/>
  <c r="M140" i="432"/>
  <c r="L56" i="435" s="1"/>
  <c r="L140" i="432"/>
  <c r="K56" i="435" s="1"/>
  <c r="K136" i="432"/>
  <c r="J55" i="435" s="1"/>
  <c r="L136" i="432"/>
  <c r="K55" i="435" s="1"/>
  <c r="M136" i="432"/>
  <c r="L55" i="435" s="1"/>
  <c r="K131" i="432"/>
  <c r="J54" i="435" s="1"/>
  <c r="L131" i="432"/>
  <c r="K54" i="435" s="1"/>
  <c r="M131" i="432"/>
  <c r="L54" i="435" s="1"/>
  <c r="J52"/>
  <c r="K52"/>
  <c r="K121" i="432"/>
  <c r="J51" i="435" s="1"/>
  <c r="L121" i="432"/>
  <c r="K51" i="435" s="1"/>
  <c r="L52"/>
  <c r="M121" i="432"/>
  <c r="L51" i="435" s="1"/>
  <c r="L118" i="432"/>
  <c r="K50" i="435" s="1"/>
  <c r="M118" i="432"/>
  <c r="L50" i="435" s="1"/>
  <c r="K118" i="432"/>
  <c r="J50" i="435" s="1"/>
  <c r="K112" i="432"/>
  <c r="J49" i="435" s="1"/>
  <c r="L112" i="432"/>
  <c r="K49" i="435" s="1"/>
  <c r="M112" i="432"/>
  <c r="L49" i="435" s="1"/>
  <c r="F104" i="432"/>
  <c r="E47" i="435" s="1"/>
  <c r="G104" i="432"/>
  <c r="F47" i="435" s="1"/>
  <c r="H104" i="432"/>
  <c r="G47" i="435" s="1"/>
  <c r="I104" i="432"/>
  <c r="H47" i="435" s="1"/>
  <c r="J104" i="432"/>
  <c r="I47" i="435" s="1"/>
  <c r="K104" i="432"/>
  <c r="J47" i="435" s="1"/>
  <c r="L104" i="432"/>
  <c r="K47" i="435" s="1"/>
  <c r="M104" i="432"/>
  <c r="L47" i="435" s="1"/>
  <c r="M100" i="432"/>
  <c r="L46" i="435" s="1"/>
  <c r="K100" i="432"/>
  <c r="J46" i="435" s="1"/>
  <c r="K97" i="432"/>
  <c r="J45" i="435" s="1"/>
  <c r="L97" i="432"/>
  <c r="K45" i="435" s="1"/>
  <c r="M97" i="432"/>
  <c r="L45" i="435" s="1"/>
  <c r="L93" i="432"/>
  <c r="K44" i="435" s="1"/>
  <c r="K86" i="432"/>
  <c r="K85" s="1"/>
  <c r="L86"/>
  <c r="L85" s="1"/>
  <c r="M86"/>
  <c r="M85" s="1"/>
  <c r="K83"/>
  <c r="J40" i="435" s="1"/>
  <c r="L83" i="432"/>
  <c r="K40" i="435" s="1"/>
  <c r="M83" i="432"/>
  <c r="L40" i="435" s="1"/>
  <c r="M78" i="432"/>
  <c r="L38" i="435" s="1"/>
  <c r="K78" i="432"/>
  <c r="J38" i="435" s="1"/>
  <c r="L78" i="432"/>
  <c r="K9"/>
  <c r="K8" s="1"/>
  <c r="F14"/>
  <c r="E28" i="435" s="1"/>
  <c r="G14" i="432"/>
  <c r="F28" i="435" s="1"/>
  <c r="H14" i="432"/>
  <c r="G28" i="435" s="1"/>
  <c r="I14" i="432"/>
  <c r="H28" i="435" s="1"/>
  <c r="J14" i="432"/>
  <c r="I28" i="435" s="1"/>
  <c r="A8" i="432"/>
  <c r="A9" s="1"/>
  <c r="A10" s="1"/>
  <c r="A11" s="1"/>
  <c r="A12" s="1"/>
  <c r="A13" s="1"/>
  <c r="A14" s="1"/>
  <c r="A15" s="1"/>
  <c r="A17" s="1"/>
  <c r="A18" s="1"/>
  <c r="A19" s="1"/>
  <c r="A20" s="1"/>
  <c r="A21" s="1"/>
  <c r="A22" s="1"/>
  <c r="A23" s="1"/>
  <c r="A24" s="1"/>
  <c r="A25" s="1"/>
  <c r="A26" s="1"/>
  <c r="A28" s="1"/>
  <c r="A30" s="1"/>
  <c r="A32" s="1"/>
  <c r="A36" s="1"/>
  <c r="A37" s="1"/>
  <c r="A39" s="1"/>
  <c r="A41" s="1"/>
  <c r="A42" s="1"/>
  <c r="A43" s="1"/>
  <c r="A44" s="1"/>
  <c r="A45" s="1"/>
  <c r="A46" s="1"/>
  <c r="A47" s="1"/>
  <c r="A48" s="1"/>
  <c r="A49" s="1"/>
  <c r="A50" s="1"/>
  <c r="A51" s="1"/>
  <c r="A52" s="1"/>
  <c r="A53" s="1"/>
  <c r="A54" s="1"/>
  <c r="A55" s="1"/>
  <c r="A57" s="1"/>
  <c r="A58" s="1"/>
  <c r="A59" s="1"/>
  <c r="A60" s="1"/>
  <c r="A61" s="1"/>
  <c r="A62" s="1"/>
  <c r="A64" s="1"/>
  <c r="A65" s="1"/>
  <c r="A66" s="1"/>
  <c r="A67" s="1"/>
  <c r="A68" s="1"/>
  <c r="A69" s="1"/>
  <c r="A70" s="1"/>
  <c r="A71" s="1"/>
  <c r="A72" s="1"/>
  <c r="A74" s="1"/>
  <c r="A75"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1" s="1"/>
  <c r="A112" s="1"/>
  <c r="A113" s="1"/>
  <c r="A114" s="1"/>
  <c r="A115" s="1"/>
  <c r="A116" s="1"/>
  <c r="A117" s="1"/>
  <c r="A118" s="1"/>
  <c r="A119" s="1"/>
  <c r="A120" s="1"/>
  <c r="A121" s="1"/>
  <c r="A122" s="1"/>
  <c r="A123" s="1"/>
  <c r="A124" s="1"/>
  <c r="A125" s="1"/>
  <c r="A126" s="1"/>
  <c r="A127" s="1"/>
  <c r="F9"/>
  <c r="F8" s="1"/>
  <c r="G9"/>
  <c r="G8" s="1"/>
  <c r="H9"/>
  <c r="I9"/>
  <c r="I8" s="1"/>
  <c r="F136"/>
  <c r="E55" i="435" s="1"/>
  <c r="G136" i="432"/>
  <c r="F55" i="435" s="1"/>
  <c r="H136" i="432"/>
  <c r="G55" i="435" s="1"/>
  <c r="I136" i="432"/>
  <c r="H55" i="435" s="1"/>
  <c r="J136" i="432"/>
  <c r="I55" i="435" s="1"/>
  <c r="F131" i="432"/>
  <c r="E54" i="435" s="1"/>
  <c r="G131" i="432"/>
  <c r="H131"/>
  <c r="G54" i="435" s="1"/>
  <c r="I131" i="432"/>
  <c r="H54" i="435" s="1"/>
  <c r="J131" i="432"/>
  <c r="I54" i="435" s="1"/>
  <c r="F112" i="432"/>
  <c r="E49" i="435" s="1"/>
  <c r="G112" i="432"/>
  <c r="F49" i="435" s="1"/>
  <c r="H112" i="432"/>
  <c r="G49" i="435" s="1"/>
  <c r="I112" i="432"/>
  <c r="H49" i="435" s="1"/>
  <c r="F121" i="432"/>
  <c r="E51" i="435" s="1"/>
  <c r="F51"/>
  <c r="H121" i="432"/>
  <c r="G51" i="435" s="1"/>
  <c r="I121" i="432"/>
  <c r="H51" i="435" s="1"/>
  <c r="J121" i="432"/>
  <c r="I51" i="435" s="1"/>
  <c r="J112" i="432"/>
  <c r="I49" i="435" s="1"/>
  <c r="F100" i="432"/>
  <c r="E46" i="435" s="1"/>
  <c r="G100" i="432"/>
  <c r="F46" i="435" s="1"/>
  <c r="H100" i="432"/>
  <c r="G46" i="435" s="1"/>
  <c r="I100" i="432"/>
  <c r="H46" i="435" s="1"/>
  <c r="J100" i="432"/>
  <c r="I46" i="435" s="1"/>
  <c r="E45"/>
  <c r="F45"/>
  <c r="G45"/>
  <c r="I97" i="432"/>
  <c r="H45" i="435" s="1"/>
  <c r="J97" i="432"/>
  <c r="I45" i="435" s="1"/>
  <c r="F89" i="432"/>
  <c r="G89"/>
  <c r="F43" i="435" s="1"/>
  <c r="H89" i="432"/>
  <c r="G43" i="435" s="1"/>
  <c r="I89" i="432"/>
  <c r="H43" i="435" s="1"/>
  <c r="F93" i="432"/>
  <c r="E44" i="435" s="1"/>
  <c r="G93" i="432"/>
  <c r="F44" i="435" s="1"/>
  <c r="H93" i="432"/>
  <c r="G44" i="435" s="1"/>
  <c r="I93" i="432"/>
  <c r="H44" i="435" s="1"/>
  <c r="J93" i="432"/>
  <c r="I44" i="435" s="1"/>
  <c r="J89" i="432"/>
  <c r="I43" i="435" s="1"/>
  <c r="E39"/>
  <c r="F39"/>
  <c r="H80" i="432"/>
  <c r="I80"/>
  <c r="H39" i="435" s="1"/>
  <c r="J80" i="432"/>
  <c r="I39" i="435" s="1"/>
  <c r="F46" i="432"/>
  <c r="E34" i="435" s="1"/>
  <c r="G46" i="432"/>
  <c r="F34" i="435" s="1"/>
  <c r="H46" i="432"/>
  <c r="G34" i="435" s="1"/>
  <c r="I46" i="432"/>
  <c r="H34" i="435" s="1"/>
  <c r="J46" i="432"/>
  <c r="I34" i="435" s="1"/>
  <c r="E38"/>
  <c r="F38"/>
  <c r="H78" i="432"/>
  <c r="G38" i="435" s="1"/>
  <c r="I78" i="432"/>
  <c r="H38" i="435" s="1"/>
  <c r="J78" i="432"/>
  <c r="E50" i="435"/>
  <c r="F50"/>
  <c r="H118" i="432"/>
  <c r="G50" i="435" s="1"/>
  <c r="I118" i="432"/>
  <c r="H50" i="435" s="1"/>
  <c r="J118" i="432"/>
  <c r="I50" i="435" s="1"/>
  <c r="E33"/>
  <c r="G43" i="432"/>
  <c r="F33" i="435" s="1"/>
  <c r="H43" i="432"/>
  <c r="G33" i="435" s="1"/>
  <c r="I43" i="432"/>
  <c r="H33" i="435" s="1"/>
  <c r="J43" i="432"/>
  <c r="I33" i="435" s="1"/>
  <c r="F39" i="432"/>
  <c r="E32" i="435" s="1"/>
  <c r="G39" i="432"/>
  <c r="F32" i="435" s="1"/>
  <c r="H39" i="432"/>
  <c r="G32" i="435" s="1"/>
  <c r="I39" i="432"/>
  <c r="H32" i="435" s="1"/>
  <c r="J39" i="432"/>
  <c r="I32" i="435" s="1"/>
  <c r="E52"/>
  <c r="F52"/>
  <c r="G52"/>
  <c r="H52"/>
  <c r="I52"/>
  <c r="F86" i="432"/>
  <c r="F85" s="1"/>
  <c r="G86"/>
  <c r="G85" s="1"/>
  <c r="H86"/>
  <c r="H85" s="1"/>
  <c r="I86"/>
  <c r="I85" s="1"/>
  <c r="J86"/>
  <c r="J85" s="1"/>
  <c r="F83"/>
  <c r="E40" i="435" s="1"/>
  <c r="G83" i="432"/>
  <c r="F40" i="435" s="1"/>
  <c r="H83" i="432"/>
  <c r="G40" i="435" s="1"/>
  <c r="I83" i="432"/>
  <c r="H40" i="435" s="1"/>
  <c r="J83" i="432"/>
  <c r="I40" i="435" s="1"/>
  <c r="J9" i="432"/>
  <c r="J8" s="1"/>
  <c r="E43" i="435" l="1"/>
  <c r="K41"/>
  <c r="G41"/>
  <c r="T59" i="432"/>
  <c r="I41" i="435"/>
  <c r="L41"/>
  <c r="J41"/>
  <c r="H41"/>
  <c r="H59" i="432"/>
  <c r="F41" i="435"/>
  <c r="K26"/>
  <c r="O26"/>
  <c r="G26"/>
  <c r="Q54"/>
  <c r="J59" i="432"/>
  <c r="G130"/>
  <c r="L26" i="435"/>
  <c r="H26"/>
  <c r="M26"/>
  <c r="I26"/>
  <c r="E26"/>
  <c r="F54"/>
  <c r="N26"/>
  <c r="J26"/>
  <c r="F26"/>
  <c r="E41"/>
  <c r="R54"/>
  <c r="R43"/>
  <c r="R111" i="432"/>
  <c r="R59"/>
  <c r="G27" i="435"/>
  <c r="S26"/>
  <c r="S43"/>
  <c r="R41"/>
  <c r="N41"/>
  <c r="N59" i="432"/>
  <c r="Q59"/>
  <c r="I59"/>
  <c r="S41" i="435"/>
  <c r="F27"/>
  <c r="Q38"/>
  <c r="I38"/>
  <c r="G39"/>
  <c r="O41"/>
  <c r="P59" i="432"/>
  <c r="P41" i="435"/>
  <c r="O59" i="432"/>
  <c r="G59"/>
  <c r="Q111"/>
  <c r="T130"/>
  <c r="S49" i="435"/>
  <c r="R26"/>
  <c r="H27"/>
  <c r="K38"/>
  <c r="Q41"/>
  <c r="M41"/>
  <c r="I27"/>
  <c r="E27"/>
  <c r="L37"/>
  <c r="N37"/>
  <c r="S59" i="432"/>
  <c r="P37" i="435"/>
  <c r="H37"/>
  <c r="S46" i="432"/>
  <c r="R34" i="435" s="1"/>
  <c r="T13" i="432"/>
  <c r="Q88"/>
  <c r="S111"/>
  <c r="R39"/>
  <c r="Q32" i="435" s="1"/>
  <c r="R46" i="432"/>
  <c r="Q34" i="435" s="1"/>
  <c r="Q39" i="432"/>
  <c r="P32" i="435" s="1"/>
  <c r="Q130" i="432"/>
  <c r="Q9"/>
  <c r="Q46"/>
  <c r="P34" i="435" s="1"/>
  <c r="O118" i="432"/>
  <c r="N50" i="435" s="1"/>
  <c r="S17" i="432"/>
  <c r="R29" i="435" s="1"/>
  <c r="R88" i="432"/>
  <c r="J88"/>
  <c r="R17"/>
  <c r="Q29" i="435" s="1"/>
  <c r="Q17" i="432"/>
  <c r="O136"/>
  <c r="N55" i="435" s="1"/>
  <c r="N136" i="432"/>
  <c r="M55" i="435" s="1"/>
  <c r="N140" i="432"/>
  <c r="M56" i="435" s="1"/>
  <c r="O100" i="432"/>
  <c r="N46" i="435" s="1"/>
  <c r="P140" i="432"/>
  <c r="O56" i="435" s="1"/>
  <c r="O140" i="432"/>
  <c r="N56" i="435" s="1"/>
  <c r="N17" i="432"/>
  <c r="M29" i="435" s="1"/>
  <c r="N112" i="432"/>
  <c r="M49" i="435" s="1"/>
  <c r="N131" i="432"/>
  <c r="M54" i="435" s="1"/>
  <c r="N118" i="432"/>
  <c r="M50" i="435" s="1"/>
  <c r="P17" i="432"/>
  <c r="O29" i="435" s="1"/>
  <c r="P131" i="432"/>
  <c r="O54" i="435" s="1"/>
  <c r="O17" i="432"/>
  <c r="N29" i="435" s="1"/>
  <c r="P104" i="432"/>
  <c r="O47" i="435" s="1"/>
  <c r="P121" i="432"/>
  <c r="O51" i="435" s="1"/>
  <c r="N100" i="432"/>
  <c r="M46" i="435" s="1"/>
  <c r="R9" i="432"/>
  <c r="N104"/>
  <c r="M47" i="435" s="1"/>
  <c r="O97" i="432"/>
  <c r="N45" i="435" s="1"/>
  <c r="P100" i="432"/>
  <c r="O46" i="435" s="1"/>
  <c r="P118" i="432"/>
  <c r="O50" i="435" s="1"/>
  <c r="O112" i="432"/>
  <c r="N49" i="435" s="1"/>
  <c r="O131" i="432"/>
  <c r="N54" i="435" s="1"/>
  <c r="N121" i="432"/>
  <c r="M51" i="435" s="1"/>
  <c r="P112" i="432"/>
  <c r="O49" i="435" s="1"/>
  <c r="P136" i="432"/>
  <c r="O55" i="435" s="1"/>
  <c r="O121" i="432"/>
  <c r="N51" i="435" s="1"/>
  <c r="O104" i="432"/>
  <c r="N47" i="435" s="1"/>
  <c r="O93" i="432"/>
  <c r="N44" i="435" s="1"/>
  <c r="N89" i="432"/>
  <c r="M43" i="435" s="1"/>
  <c r="N93" i="432"/>
  <c r="M44" i="435" s="1"/>
  <c r="N97" i="432"/>
  <c r="M45" i="435" s="1"/>
  <c r="O89" i="432"/>
  <c r="N43" i="435" s="1"/>
  <c r="P89" i="432"/>
  <c r="O43" i="435" s="1"/>
  <c r="P93" i="432"/>
  <c r="O44" i="435" s="1"/>
  <c r="P97" i="432"/>
  <c r="O45" i="435" s="1"/>
  <c r="P39" i="432"/>
  <c r="O32" i="435" s="1"/>
  <c r="O39" i="432"/>
  <c r="N32" i="435" s="1"/>
  <c r="P46" i="432"/>
  <c r="O34" i="435" s="1"/>
  <c r="O46" i="432"/>
  <c r="N34" i="435" s="1"/>
  <c r="N39" i="432"/>
  <c r="M32" i="435" s="1"/>
  <c r="N46" i="432"/>
  <c r="M34" i="435" s="1"/>
  <c r="I130" i="432"/>
  <c r="L130"/>
  <c r="J130"/>
  <c r="F130"/>
  <c r="M130"/>
  <c r="H130"/>
  <c r="K130"/>
  <c r="G88"/>
  <c r="F88"/>
  <c r="F7" s="1"/>
  <c r="H88"/>
  <c r="I88"/>
  <c r="M80"/>
  <c r="L39" i="435" s="1"/>
  <c r="K80" i="432"/>
  <c r="J39" i="435" s="1"/>
  <c r="K89" i="432"/>
  <c r="J43" i="435" s="1"/>
  <c r="M93" i="432"/>
  <c r="L44" i="435" s="1"/>
  <c r="L100" i="432"/>
  <c r="K46" i="435" s="1"/>
  <c r="M46" i="432"/>
  <c r="L34" i="435" s="1"/>
  <c r="L80" i="432"/>
  <c r="K39" i="435" s="1"/>
  <c r="M89" i="432"/>
  <c r="L43" i="435" s="1"/>
  <c r="M14" i="432"/>
  <c r="L28" i="435" s="1"/>
  <c r="K43" i="432"/>
  <c r="J33" i="435" s="1"/>
  <c r="L39" i="432"/>
  <c r="K32" i="435" s="1"/>
  <c r="L89" i="432"/>
  <c r="K43" i="435" s="1"/>
  <c r="K93" i="432"/>
  <c r="J44" i="435" s="1"/>
  <c r="M111" i="432"/>
  <c r="K111"/>
  <c r="L111"/>
  <c r="L46"/>
  <c r="K34" i="435" s="1"/>
  <c r="K46" i="432"/>
  <c r="J34" i="435" s="1"/>
  <c r="L14" i="432"/>
  <c r="K28" i="435" s="1"/>
  <c r="J13" i="432"/>
  <c r="L43"/>
  <c r="K33" i="435" s="1"/>
  <c r="K39" i="432"/>
  <c r="J32" i="435" s="1"/>
  <c r="K14" i="432"/>
  <c r="J28" i="435" s="1"/>
  <c r="G13" i="432"/>
  <c r="I111"/>
  <c r="H13"/>
  <c r="G111"/>
  <c r="H111"/>
  <c r="J111"/>
  <c r="I13"/>
  <c r="J490" i="431"/>
  <c r="K490"/>
  <c r="L490"/>
  <c r="M490"/>
  <c r="N490"/>
  <c r="O490"/>
  <c r="P490"/>
  <c r="Q490"/>
  <c r="R490"/>
  <c r="S490"/>
  <c r="E351"/>
  <c r="F351"/>
  <c r="G351"/>
  <c r="H351"/>
  <c r="I351"/>
  <c r="J351"/>
  <c r="K351"/>
  <c r="L351"/>
  <c r="M351"/>
  <c r="N351"/>
  <c r="O351"/>
  <c r="P351"/>
  <c r="Q351"/>
  <c r="R351"/>
  <c r="S351"/>
  <c r="J166"/>
  <c r="J158"/>
  <c r="K166"/>
  <c r="K158"/>
  <c r="L166"/>
  <c r="L158"/>
  <c r="M166"/>
  <c r="M158"/>
  <c r="N166"/>
  <c r="N158"/>
  <c r="K503"/>
  <c r="N503"/>
  <c r="N20" i="435" s="1"/>
  <c r="N81" s="1"/>
  <c r="O503" i="431"/>
  <c r="O20" i="435" s="1"/>
  <c r="O81" s="1"/>
  <c r="P503" i="431"/>
  <c r="P20" i="435" s="1"/>
  <c r="P81" s="1"/>
  <c r="J503" i="431"/>
  <c r="J20" i="435" s="1"/>
  <c r="J81" s="1"/>
  <c r="R503" i="431"/>
  <c r="R20" i="435" s="1"/>
  <c r="R81" s="1"/>
  <c r="K496" i="431"/>
  <c r="O496"/>
  <c r="L496"/>
  <c r="P496"/>
  <c r="Q496"/>
  <c r="J496"/>
  <c r="M496"/>
  <c r="N496"/>
  <c r="R496"/>
  <c r="J485"/>
  <c r="K485"/>
  <c r="L485"/>
  <c r="N485"/>
  <c r="O485"/>
  <c r="P485"/>
  <c r="Q485"/>
  <c r="R485"/>
  <c r="M485"/>
  <c r="L482"/>
  <c r="M482"/>
  <c r="N482"/>
  <c r="P482"/>
  <c r="J482"/>
  <c r="K482"/>
  <c r="O482"/>
  <c r="Q482"/>
  <c r="R482"/>
  <c r="J475"/>
  <c r="N475"/>
  <c r="R475"/>
  <c r="K475"/>
  <c r="M475"/>
  <c r="O475"/>
  <c r="Q475"/>
  <c r="L475"/>
  <c r="P475"/>
  <c r="M471"/>
  <c r="Q471"/>
  <c r="J471"/>
  <c r="L471"/>
  <c r="N471"/>
  <c r="R471"/>
  <c r="K471"/>
  <c r="O471"/>
  <c r="P471"/>
  <c r="J452"/>
  <c r="K452"/>
  <c r="L452"/>
  <c r="M452"/>
  <c r="N452"/>
  <c r="O452"/>
  <c r="P452"/>
  <c r="Q452"/>
  <c r="R452"/>
  <c r="J447"/>
  <c r="K447"/>
  <c r="L447"/>
  <c r="M447"/>
  <c r="N447"/>
  <c r="O447"/>
  <c r="P447"/>
  <c r="Q447"/>
  <c r="R447"/>
  <c r="J444"/>
  <c r="K444"/>
  <c r="L444"/>
  <c r="M444"/>
  <c r="N444"/>
  <c r="O444"/>
  <c r="P444"/>
  <c r="Q444"/>
  <c r="R444"/>
  <c r="J436"/>
  <c r="K436"/>
  <c r="L436"/>
  <c r="M436"/>
  <c r="N436"/>
  <c r="O436"/>
  <c r="P436"/>
  <c r="Q436"/>
  <c r="R436"/>
  <c r="K422"/>
  <c r="O422"/>
  <c r="J422"/>
  <c r="L422"/>
  <c r="M422"/>
  <c r="N422"/>
  <c r="P422"/>
  <c r="Q422"/>
  <c r="R422"/>
  <c r="L416"/>
  <c r="J416"/>
  <c r="K416"/>
  <c r="M416"/>
  <c r="N416"/>
  <c r="O416"/>
  <c r="P416"/>
  <c r="Q416"/>
  <c r="R416"/>
  <c r="J413"/>
  <c r="N413"/>
  <c r="K413"/>
  <c r="L413"/>
  <c r="M413"/>
  <c r="O413"/>
  <c r="P413"/>
  <c r="Q413"/>
  <c r="R413"/>
  <c r="L410"/>
  <c r="P410"/>
  <c r="J410"/>
  <c r="K410"/>
  <c r="M410"/>
  <c r="N410"/>
  <c r="O410"/>
  <c r="Q410"/>
  <c r="R410"/>
  <c r="J405"/>
  <c r="K405"/>
  <c r="L405"/>
  <c r="M405"/>
  <c r="N405"/>
  <c r="O405"/>
  <c r="P405"/>
  <c r="Q405"/>
  <c r="R405"/>
  <c r="J395"/>
  <c r="K395"/>
  <c r="L395"/>
  <c r="M395"/>
  <c r="N395"/>
  <c r="O395"/>
  <c r="P395"/>
  <c r="Q395"/>
  <c r="R395"/>
  <c r="J364"/>
  <c r="K364"/>
  <c r="L364"/>
  <c r="M364"/>
  <c r="N364"/>
  <c r="O364"/>
  <c r="P364"/>
  <c r="Q364"/>
  <c r="R364"/>
  <c r="J358"/>
  <c r="K358"/>
  <c r="L358"/>
  <c r="M358"/>
  <c r="N358"/>
  <c r="O358"/>
  <c r="P358"/>
  <c r="Q358"/>
  <c r="R358"/>
  <c r="J339"/>
  <c r="K339"/>
  <c r="O339"/>
  <c r="L339"/>
  <c r="M339"/>
  <c r="N339"/>
  <c r="P339"/>
  <c r="Q339"/>
  <c r="R339"/>
  <c r="M336"/>
  <c r="Q336"/>
  <c r="J336"/>
  <c r="K336"/>
  <c r="L336"/>
  <c r="N336"/>
  <c r="O336"/>
  <c r="P336"/>
  <c r="R336"/>
  <c r="L327"/>
  <c r="P327"/>
  <c r="M327"/>
  <c r="Q327"/>
  <c r="J327"/>
  <c r="K327"/>
  <c r="N327"/>
  <c r="O327"/>
  <c r="R327"/>
  <c r="K324"/>
  <c r="O324"/>
  <c r="J324"/>
  <c r="L324"/>
  <c r="M324"/>
  <c r="N324"/>
  <c r="P324"/>
  <c r="Q324"/>
  <c r="R324"/>
  <c r="J319"/>
  <c r="N319"/>
  <c r="R319"/>
  <c r="K319"/>
  <c r="O319"/>
  <c r="L319"/>
  <c r="M319"/>
  <c r="P319"/>
  <c r="Q319"/>
  <c r="L305"/>
  <c r="L14" i="435" s="1"/>
  <c r="L75" s="1"/>
  <c r="P305" i="431"/>
  <c r="P14" i="435" s="1"/>
  <c r="P75" s="1"/>
  <c r="M305" i="431"/>
  <c r="M14" i="435" s="1"/>
  <c r="M75" s="1"/>
  <c r="Q305" i="431"/>
  <c r="Q14" i="435" s="1"/>
  <c r="Q75" s="1"/>
  <c r="J305" i="431"/>
  <c r="J14" i="435" s="1"/>
  <c r="J75" s="1"/>
  <c r="K305" i="431"/>
  <c r="N305"/>
  <c r="N14" i="435" s="1"/>
  <c r="N75" s="1"/>
  <c r="O305" i="431"/>
  <c r="O14" i="435" s="1"/>
  <c r="O75" s="1"/>
  <c r="R305" i="431"/>
  <c r="R14" i="435" s="1"/>
  <c r="R75" s="1"/>
  <c r="J289" i="431"/>
  <c r="J13" i="435" s="1"/>
  <c r="J74" s="1"/>
  <c r="K289" i="431"/>
  <c r="L289"/>
  <c r="L13" i="435" s="1"/>
  <c r="L74" s="1"/>
  <c r="M289" i="431"/>
  <c r="M13" i="435" s="1"/>
  <c r="M74" s="1"/>
  <c r="N289" i="431"/>
  <c r="N13" i="435" s="1"/>
  <c r="N74" s="1"/>
  <c r="O289" i="431"/>
  <c r="O13" i="435" s="1"/>
  <c r="O74" s="1"/>
  <c r="P289" i="431"/>
  <c r="P13" i="435" s="1"/>
  <c r="P74" s="1"/>
  <c r="Q289" i="431"/>
  <c r="Q13" i="435" s="1"/>
  <c r="Q74" s="1"/>
  <c r="R289" i="431"/>
  <c r="R13" i="435" s="1"/>
  <c r="R74" s="1"/>
  <c r="J280" i="431"/>
  <c r="N280"/>
  <c r="R280"/>
  <c r="K280"/>
  <c r="L280"/>
  <c r="M280"/>
  <c r="O280"/>
  <c r="P280"/>
  <c r="Q280"/>
  <c r="K249"/>
  <c r="O249"/>
  <c r="O247" s="1"/>
  <c r="O12" i="435" s="1"/>
  <c r="J249" i="431"/>
  <c r="L249"/>
  <c r="M249"/>
  <c r="N249"/>
  <c r="P249"/>
  <c r="Q249"/>
  <c r="R249"/>
  <c r="K242"/>
  <c r="O242"/>
  <c r="J242"/>
  <c r="L242"/>
  <c r="M242"/>
  <c r="N242"/>
  <c r="P242"/>
  <c r="Q242"/>
  <c r="R242"/>
  <c r="M239"/>
  <c r="Q239"/>
  <c r="J239"/>
  <c r="K239"/>
  <c r="L239"/>
  <c r="N239"/>
  <c r="O239"/>
  <c r="P239"/>
  <c r="R239"/>
  <c r="K236"/>
  <c r="O236"/>
  <c r="J236"/>
  <c r="L236"/>
  <c r="M236"/>
  <c r="N236"/>
  <c r="P236"/>
  <c r="Q236"/>
  <c r="R236"/>
  <c r="M233"/>
  <c r="Q233"/>
  <c r="J233"/>
  <c r="K233"/>
  <c r="L233"/>
  <c r="N233"/>
  <c r="O233"/>
  <c r="P233"/>
  <c r="R233"/>
  <c r="J226"/>
  <c r="K226"/>
  <c r="O226"/>
  <c r="L226"/>
  <c r="M226"/>
  <c r="N226"/>
  <c r="P226"/>
  <c r="Q226"/>
  <c r="R226"/>
  <c r="L219"/>
  <c r="P219"/>
  <c r="J219"/>
  <c r="K219"/>
  <c r="M219"/>
  <c r="N219"/>
  <c r="O219"/>
  <c r="Q219"/>
  <c r="R219"/>
  <c r="M212"/>
  <c r="Q212"/>
  <c r="J212"/>
  <c r="K212"/>
  <c r="L212"/>
  <c r="N212"/>
  <c r="O212"/>
  <c r="P212"/>
  <c r="R212"/>
  <c r="M206"/>
  <c r="Q206"/>
  <c r="J206"/>
  <c r="K206"/>
  <c r="L206"/>
  <c r="N206"/>
  <c r="O206"/>
  <c r="P206"/>
  <c r="R206"/>
  <c r="I171"/>
  <c r="I185"/>
  <c r="J185"/>
  <c r="J171"/>
  <c r="K185"/>
  <c r="K171"/>
  <c r="L185"/>
  <c r="L171"/>
  <c r="M185"/>
  <c r="M171"/>
  <c r="N185"/>
  <c r="N171"/>
  <c r="O185"/>
  <c r="O171"/>
  <c r="P185"/>
  <c r="P171"/>
  <c r="Q185"/>
  <c r="Q171"/>
  <c r="R185"/>
  <c r="R171"/>
  <c r="O166"/>
  <c r="O158"/>
  <c r="P166"/>
  <c r="P158"/>
  <c r="Q166"/>
  <c r="Q158"/>
  <c r="R166"/>
  <c r="R158"/>
  <c r="S485"/>
  <c r="S482"/>
  <c r="S496"/>
  <c r="S471"/>
  <c r="S447"/>
  <c r="S444"/>
  <c r="S422"/>
  <c r="P50" i="447" l="1"/>
  <c r="O73" i="435"/>
  <c r="S57"/>
  <c r="I57"/>
  <c r="F57"/>
  <c r="G57"/>
  <c r="H57"/>
  <c r="E57"/>
  <c r="R247" i="431"/>
  <c r="R12" i="435" s="1"/>
  <c r="Q247" i="431"/>
  <c r="Q12" i="435" s="1"/>
  <c r="L247" i="431"/>
  <c r="L12" i="435" s="1"/>
  <c r="O362" i="431"/>
  <c r="O16" i="435" s="1"/>
  <c r="O77" s="1"/>
  <c r="P362" i="431"/>
  <c r="P16" i="435" s="1"/>
  <c r="P77" s="1"/>
  <c r="L362" i="431"/>
  <c r="L16" i="435" s="1"/>
  <c r="L77" s="1"/>
  <c r="L27"/>
  <c r="L57" s="1"/>
  <c r="K27"/>
  <c r="K57" s="1"/>
  <c r="J27"/>
  <c r="J57" s="1"/>
  <c r="Q8" i="432"/>
  <c r="P26" i="435"/>
  <c r="R8" i="432"/>
  <c r="Q26" i="435"/>
  <c r="N27"/>
  <c r="N57" s="1"/>
  <c r="N130" i="432"/>
  <c r="R27" i="435"/>
  <c r="Q27"/>
  <c r="M27"/>
  <c r="M57" s="1"/>
  <c r="Q13" i="432"/>
  <c r="Q7" s="1"/>
  <c r="P29" i="435"/>
  <c r="P27" s="1"/>
  <c r="O27"/>
  <c r="O57" s="1"/>
  <c r="M59" i="432"/>
  <c r="L59"/>
  <c r="K59"/>
  <c r="P36" i="435"/>
  <c r="Q36"/>
  <c r="R36"/>
  <c r="T7" i="432"/>
  <c r="R362" i="431"/>
  <c r="R16" i="435" s="1"/>
  <c r="R77" s="1"/>
  <c r="N362" i="431"/>
  <c r="N16" i="435" s="1"/>
  <c r="N77" s="1"/>
  <c r="J362" i="431"/>
  <c r="J16" i="435" s="1"/>
  <c r="J77" s="1"/>
  <c r="K14"/>
  <c r="K75" s="1"/>
  <c r="K362" i="431"/>
  <c r="K20" i="435"/>
  <c r="K81" s="1"/>
  <c r="K13"/>
  <c r="K74" s="1"/>
  <c r="S13" i="432"/>
  <c r="S7" s="1"/>
  <c r="R13"/>
  <c r="R7" s="1"/>
  <c r="O130"/>
  <c r="P130"/>
  <c r="O111"/>
  <c r="N111"/>
  <c r="L88"/>
  <c r="P111"/>
  <c r="O88"/>
  <c r="N13"/>
  <c r="N88"/>
  <c r="P88"/>
  <c r="P13"/>
  <c r="O13"/>
  <c r="M13"/>
  <c r="I7"/>
  <c r="M88"/>
  <c r="K88"/>
  <c r="G7"/>
  <c r="J7"/>
  <c r="H7"/>
  <c r="K13"/>
  <c r="L13"/>
  <c r="L210" i="431"/>
  <c r="L11" i="435" s="1"/>
  <c r="L72" s="1"/>
  <c r="N210" i="431"/>
  <c r="N11" i="435" s="1"/>
  <c r="N72" s="1"/>
  <c r="N247" i="431"/>
  <c r="N12" i="435" s="1"/>
  <c r="R403" i="431"/>
  <c r="R17" i="435" s="1"/>
  <c r="R78" s="1"/>
  <c r="R480" i="431"/>
  <c r="R19" i="435" s="1"/>
  <c r="R80" s="1"/>
  <c r="K210" i="431"/>
  <c r="P303"/>
  <c r="P15" i="435" s="1"/>
  <c r="P76" s="1"/>
  <c r="M247" i="431"/>
  <c r="M12" i="435" s="1"/>
  <c r="J403" i="431"/>
  <c r="J17" i="435" s="1"/>
  <c r="J78" s="1"/>
  <c r="Q480" i="431"/>
  <c r="Q19" i="435" s="1"/>
  <c r="Q80" s="1"/>
  <c r="P10"/>
  <c r="P71" s="1"/>
  <c r="J480" i="431"/>
  <c r="J19" i="435" s="1"/>
  <c r="J80" s="1"/>
  <c r="K480" i="431"/>
  <c r="M480"/>
  <c r="M19" i="435" s="1"/>
  <c r="M80" s="1"/>
  <c r="N480" i="431"/>
  <c r="N19" i="435" s="1"/>
  <c r="N80" s="1"/>
  <c r="S480" i="431"/>
  <c r="S19" i="435" s="1"/>
  <c r="S80" s="1"/>
  <c r="O480" i="431"/>
  <c r="O19" i="435" s="1"/>
  <c r="O80" s="1"/>
  <c r="O425" i="431"/>
  <c r="O18" i="435" s="1"/>
  <c r="O79" s="1"/>
  <c r="L425" i="431"/>
  <c r="L18" i="435" s="1"/>
  <c r="L79" s="1"/>
  <c r="P425" i="431"/>
  <c r="P18" i="435" s="1"/>
  <c r="P79" s="1"/>
  <c r="K425" i="431"/>
  <c r="J425"/>
  <c r="J18" i="435" s="1"/>
  <c r="J79" s="1"/>
  <c r="Q425" i="431"/>
  <c r="Q18" i="435" s="1"/>
  <c r="Q79" s="1"/>
  <c r="M425" i="431"/>
  <c r="M18" i="435" s="1"/>
  <c r="M79" s="1"/>
  <c r="R425" i="431"/>
  <c r="R18" i="435" s="1"/>
  <c r="R79" s="1"/>
  <c r="N425" i="431"/>
  <c r="N18" i="435" s="1"/>
  <c r="N79" s="1"/>
  <c r="O403" i="431"/>
  <c r="O17" i="435" s="1"/>
  <c r="O78" s="1"/>
  <c r="K403" i="431"/>
  <c r="P403"/>
  <c r="P17" i="435" s="1"/>
  <c r="P78" s="1"/>
  <c r="L403" i="431"/>
  <c r="L17" i="435" s="1"/>
  <c r="L78" s="1"/>
  <c r="N403" i="431"/>
  <c r="N17" i="435" s="1"/>
  <c r="N78" s="1"/>
  <c r="Q403" i="431"/>
  <c r="Q17" i="435" s="1"/>
  <c r="Q78" s="1"/>
  <c r="M403" i="431"/>
  <c r="M17" i="435" s="1"/>
  <c r="M78" s="1"/>
  <c r="Q362" i="431"/>
  <c r="Q16" i="435" s="1"/>
  <c r="Q77" s="1"/>
  <c r="M362" i="431"/>
  <c r="M16" i="435" s="1"/>
  <c r="M77" s="1"/>
  <c r="K303" i="431"/>
  <c r="M303"/>
  <c r="M15" i="435" s="1"/>
  <c r="M76" s="1"/>
  <c r="N303" i="431"/>
  <c r="N15" i="435" s="1"/>
  <c r="N76" s="1"/>
  <c r="O303" i="431"/>
  <c r="O15" i="435" s="1"/>
  <c r="O76" s="1"/>
  <c r="J303" i="431"/>
  <c r="J15" i="435" s="1"/>
  <c r="J76" s="1"/>
  <c r="L303" i="431"/>
  <c r="L15" i="435" s="1"/>
  <c r="L76" s="1"/>
  <c r="Q303" i="431"/>
  <c r="Q15" i="435" s="1"/>
  <c r="Q76" s="1"/>
  <c r="R303" i="431"/>
  <c r="R15" i="435" s="1"/>
  <c r="R76" s="1"/>
  <c r="P247" i="431"/>
  <c r="P12" i="435" s="1"/>
  <c r="J247" i="431"/>
  <c r="J12" i="435" s="1"/>
  <c r="K247" i="431"/>
  <c r="Q210"/>
  <c r="Q11" i="435" s="1"/>
  <c r="Q72" s="1"/>
  <c r="O210" i="431"/>
  <c r="O11" i="435" s="1"/>
  <c r="O72" s="1"/>
  <c r="J210" i="431"/>
  <c r="J11" i="435" s="1"/>
  <c r="J72" s="1"/>
  <c r="R210" i="431"/>
  <c r="R11" i="435" s="1"/>
  <c r="R72" s="1"/>
  <c r="M210" i="431"/>
  <c r="M11" i="435" s="1"/>
  <c r="M72" s="1"/>
  <c r="P210" i="431"/>
  <c r="P11" i="435" s="1"/>
  <c r="P72" s="1"/>
  <c r="O10"/>
  <c r="O71" s="1"/>
  <c r="Q10"/>
  <c r="Q71" s="1"/>
  <c r="R10"/>
  <c r="R71" s="1"/>
  <c r="N10"/>
  <c r="N71" s="1"/>
  <c r="M10"/>
  <c r="M71" s="1"/>
  <c r="L10"/>
  <c r="L71" s="1"/>
  <c r="J10"/>
  <c r="J71" s="1"/>
  <c r="P480" i="431"/>
  <c r="P19" i="435" s="1"/>
  <c r="P80" s="1"/>
  <c r="L480" i="431"/>
  <c r="L19" i="435" s="1"/>
  <c r="L80" s="1"/>
  <c r="Q503" i="431"/>
  <c r="Q20" i="435" s="1"/>
  <c r="Q81" s="1"/>
  <c r="M503" i="431"/>
  <c r="M20" i="435" s="1"/>
  <c r="M81" s="1"/>
  <c r="L503" i="431"/>
  <c r="L20" i="435" s="1"/>
  <c r="L81" s="1"/>
  <c r="S503" i="431"/>
  <c r="S20" i="435" s="1"/>
  <c r="S81" s="1"/>
  <c r="S452" i="431"/>
  <c r="S475"/>
  <c r="S436"/>
  <c r="S416"/>
  <c r="S413"/>
  <c r="S410"/>
  <c r="S336"/>
  <c r="S324"/>
  <c r="S239"/>
  <c r="S236"/>
  <c r="S233"/>
  <c r="S219"/>
  <c r="S206"/>
  <c r="S166"/>
  <c r="M143"/>
  <c r="M141" s="1"/>
  <c r="M9" i="435" s="1"/>
  <c r="M70" s="1"/>
  <c r="Q143" i="431"/>
  <c r="Q141" s="1"/>
  <c r="Q9" i="435" s="1"/>
  <c r="Q70" s="1"/>
  <c r="J143" i="431"/>
  <c r="J141" s="1"/>
  <c r="J9" i="435" s="1"/>
  <c r="J70" s="1"/>
  <c r="K143" i="431"/>
  <c r="L143"/>
  <c r="L141" s="1"/>
  <c r="L9" i="435" s="1"/>
  <c r="L70" s="1"/>
  <c r="N143" i="431"/>
  <c r="N141" s="1"/>
  <c r="N9" i="435" s="1"/>
  <c r="N70" s="1"/>
  <c r="O143" i="431"/>
  <c r="O141" s="1"/>
  <c r="O9" i="435" s="1"/>
  <c r="O70" s="1"/>
  <c r="P143" i="431"/>
  <c r="P141" s="1"/>
  <c r="P9" i="435" s="1"/>
  <c r="P70" s="1"/>
  <c r="R143" i="431"/>
  <c r="R141" s="1"/>
  <c r="R9" i="435" s="1"/>
  <c r="R70" s="1"/>
  <c r="S143" i="431"/>
  <c r="J137"/>
  <c r="N137"/>
  <c r="R137"/>
  <c r="K137"/>
  <c r="L137"/>
  <c r="M137"/>
  <c r="O137"/>
  <c r="P137"/>
  <c r="Q137"/>
  <c r="S137"/>
  <c r="O130"/>
  <c r="O124" s="1"/>
  <c r="O8" i="435" s="1"/>
  <c r="O69" s="1"/>
  <c r="J130" i="431"/>
  <c r="K130"/>
  <c r="N130"/>
  <c r="R130"/>
  <c r="L130"/>
  <c r="M130"/>
  <c r="P130"/>
  <c r="Q130"/>
  <c r="S130"/>
  <c r="M119"/>
  <c r="Q119"/>
  <c r="J119"/>
  <c r="K119"/>
  <c r="N119"/>
  <c r="O119"/>
  <c r="R119"/>
  <c r="G119"/>
  <c r="H119"/>
  <c r="I119"/>
  <c r="L119"/>
  <c r="P119"/>
  <c r="S119"/>
  <c r="M116"/>
  <c r="Q116"/>
  <c r="J116"/>
  <c r="K116"/>
  <c r="L116"/>
  <c r="N116"/>
  <c r="O116"/>
  <c r="P116"/>
  <c r="R116"/>
  <c r="S116"/>
  <c r="O111"/>
  <c r="J111"/>
  <c r="L111"/>
  <c r="P111"/>
  <c r="K111"/>
  <c r="M111"/>
  <c r="N111"/>
  <c r="Q111"/>
  <c r="R111"/>
  <c r="S111"/>
  <c r="J107"/>
  <c r="N107"/>
  <c r="R107"/>
  <c r="K107"/>
  <c r="L107"/>
  <c r="M107"/>
  <c r="O107"/>
  <c r="P107"/>
  <c r="Q107"/>
  <c r="S107"/>
  <c r="R99"/>
  <c r="S99"/>
  <c r="J99"/>
  <c r="K99"/>
  <c r="L99"/>
  <c r="M99"/>
  <c r="N99"/>
  <c r="O99"/>
  <c r="P99"/>
  <c r="Q99"/>
  <c r="J95"/>
  <c r="K95"/>
  <c r="L95"/>
  <c r="M95"/>
  <c r="N95"/>
  <c r="O95"/>
  <c r="P95"/>
  <c r="Q95"/>
  <c r="R95"/>
  <c r="S95"/>
  <c r="M87"/>
  <c r="Q87"/>
  <c r="J87"/>
  <c r="N87"/>
  <c r="R87"/>
  <c r="K87"/>
  <c r="O87"/>
  <c r="L87"/>
  <c r="P87"/>
  <c r="S87"/>
  <c r="K58"/>
  <c r="S58"/>
  <c r="R58"/>
  <c r="Q58"/>
  <c r="P58"/>
  <c r="O58"/>
  <c r="J58"/>
  <c r="L58"/>
  <c r="M58"/>
  <c r="N58"/>
  <c r="M52"/>
  <c r="Q52"/>
  <c r="J52"/>
  <c r="J39" s="1"/>
  <c r="K52"/>
  <c r="L52"/>
  <c r="N52"/>
  <c r="N39" s="1"/>
  <c r="O52"/>
  <c r="O39" s="1"/>
  <c r="P52"/>
  <c r="P39" s="1"/>
  <c r="R52"/>
  <c r="R39" s="1"/>
  <c r="S52"/>
  <c r="S39" s="1"/>
  <c r="J34"/>
  <c r="N34"/>
  <c r="R34"/>
  <c r="K34"/>
  <c r="O34"/>
  <c r="L34"/>
  <c r="M34"/>
  <c r="P34"/>
  <c r="Q34"/>
  <c r="S34"/>
  <c r="O25"/>
  <c r="L25"/>
  <c r="P25"/>
  <c r="J25"/>
  <c r="K25"/>
  <c r="M25"/>
  <c r="N25"/>
  <c r="Q25"/>
  <c r="R25"/>
  <c r="S25"/>
  <c r="P18"/>
  <c r="M18"/>
  <c r="Q18"/>
  <c r="J18"/>
  <c r="N18"/>
  <c r="R18"/>
  <c r="K18"/>
  <c r="L18"/>
  <c r="O18"/>
  <c r="S18"/>
  <c r="R5"/>
  <c r="Q5" s="1"/>
  <c r="P5" s="1"/>
  <c r="O5" s="1"/>
  <c r="N5" s="1"/>
  <c r="M5" s="1"/>
  <c r="L5" s="1"/>
  <c r="K5" s="1"/>
  <c r="J5" s="1"/>
  <c r="I5" s="1"/>
  <c r="H5" s="1"/>
  <c r="G5" s="1"/>
  <c r="F5" s="1"/>
  <c r="E5" s="1"/>
  <c r="D5" s="1"/>
  <c r="C5" s="1"/>
  <c r="B5" s="1"/>
  <c r="R57" i="435" l="1"/>
  <c r="O50" i="447"/>
  <c r="N73" i="435"/>
  <c r="S50" i="447"/>
  <c r="R73" i="435"/>
  <c r="Q50" i="447"/>
  <c r="P73" i="435"/>
  <c r="N50" i="447"/>
  <c r="M73" i="435"/>
  <c r="R50" i="447"/>
  <c r="Q73" i="435"/>
  <c r="K50" i="447"/>
  <c r="J73" i="435"/>
  <c r="M50" i="447"/>
  <c r="L73" i="435"/>
  <c r="Q57"/>
  <c r="P57"/>
  <c r="S124" i="431"/>
  <c r="S8" i="435" s="1"/>
  <c r="S69" s="1"/>
  <c r="Q124" i="431"/>
  <c r="Q8" i="435" s="1"/>
  <c r="Q69" s="1"/>
  <c r="P124" i="431"/>
  <c r="P8" i="435" s="1"/>
  <c r="P69" s="1"/>
  <c r="K15"/>
  <c r="K76" s="1"/>
  <c r="K10"/>
  <c r="K71" s="1"/>
  <c r="K16"/>
  <c r="K77" s="1"/>
  <c r="M124" i="431"/>
  <c r="M8" i="435" s="1"/>
  <c r="M69" s="1"/>
  <c r="K39" i="431"/>
  <c r="K17" i="435"/>
  <c r="K78" s="1"/>
  <c r="K19"/>
  <c r="K80" s="1"/>
  <c r="K11"/>
  <c r="K72" s="1"/>
  <c r="K12"/>
  <c r="K18"/>
  <c r="K79" s="1"/>
  <c r="M7" i="432"/>
  <c r="L7"/>
  <c r="N7"/>
  <c r="O7"/>
  <c r="P7"/>
  <c r="K7"/>
  <c r="J124" i="431"/>
  <c r="J8" i="435" s="1"/>
  <c r="J69" s="1"/>
  <c r="K124" i="431"/>
  <c r="N124"/>
  <c r="N8" i="435" s="1"/>
  <c r="N69" s="1"/>
  <c r="L124" i="431"/>
  <c r="L8" i="435" s="1"/>
  <c r="L69" s="1"/>
  <c r="R124" i="431"/>
  <c r="R8" i="435" s="1"/>
  <c r="R69" s="1"/>
  <c r="K141" i="431"/>
  <c r="S425"/>
  <c r="S18" i="435" s="1"/>
  <c r="S79" s="1"/>
  <c r="S405" i="431"/>
  <c r="S403" s="1"/>
  <c r="S17" i="435" s="1"/>
  <c r="S78" s="1"/>
  <c r="S395" i="431"/>
  <c r="S364"/>
  <c r="S327"/>
  <c r="S242"/>
  <c r="S358"/>
  <c r="S339"/>
  <c r="S319"/>
  <c r="S305"/>
  <c r="S14" i="435" s="1"/>
  <c r="S75" s="1"/>
  <c r="S280" i="431"/>
  <c r="S249"/>
  <c r="S171"/>
  <c r="S289"/>
  <c r="S13" i="435" s="1"/>
  <c r="S74" s="1"/>
  <c r="S226" i="431"/>
  <c r="S212"/>
  <c r="S185"/>
  <c r="S158"/>
  <c r="S141" s="1"/>
  <c r="S9" i="435" s="1"/>
  <c r="S70" s="1"/>
  <c r="L39" i="431"/>
  <c r="Q39"/>
  <c r="M39"/>
  <c r="R10"/>
  <c r="Q10"/>
  <c r="J10"/>
  <c r="S10"/>
  <c r="S8" s="1"/>
  <c r="P10"/>
  <c r="O10"/>
  <c r="N10"/>
  <c r="M10"/>
  <c r="M8" s="1"/>
  <c r="L10"/>
  <c r="K10"/>
  <c r="L50" i="447" l="1"/>
  <c r="K73" i="435"/>
  <c r="N8" i="431"/>
  <c r="N7" i="435" s="1"/>
  <c r="N68" s="1"/>
  <c r="J8" i="431"/>
  <c r="J7" i="435" s="1"/>
  <c r="J68" s="1"/>
  <c r="L8" i="431"/>
  <c r="L7" i="435" s="1"/>
  <c r="L68" s="1"/>
  <c r="P8" i="431"/>
  <c r="P7" i="435" s="1"/>
  <c r="P68" s="1"/>
  <c r="R8" i="431"/>
  <c r="R7" i="435" s="1"/>
  <c r="R68" s="1"/>
  <c r="O8" i="431"/>
  <c r="O512" s="1"/>
  <c r="K8"/>
  <c r="Q8"/>
  <c r="Q7" i="435" s="1"/>
  <c r="M7"/>
  <c r="K8"/>
  <c r="K69" s="1"/>
  <c r="K9"/>
  <c r="K70" s="1"/>
  <c r="S247" i="431"/>
  <c r="S12" i="435" s="1"/>
  <c r="S362" i="431"/>
  <c r="S16" i="435" s="1"/>
  <c r="S77" s="1"/>
  <c r="S303" i="431"/>
  <c r="S15" i="435" s="1"/>
  <c r="S76" s="1"/>
  <c r="S210" i="431"/>
  <c r="S11" i="435" s="1"/>
  <c r="S72" s="1"/>
  <c r="S10"/>
  <c r="S71" s="1"/>
  <c r="M61" l="1"/>
  <c r="I40" i="448" s="1"/>
  <c r="M68" i="435"/>
  <c r="T50" i="447"/>
  <c r="B50" s="1"/>
  <c r="S73" i="435"/>
  <c r="Q21"/>
  <c r="R46" i="447" s="1"/>
  <c r="R47" s="1"/>
  <c r="Q68" i="435"/>
  <c r="R512" i="431"/>
  <c r="P512"/>
  <c r="O7" i="435"/>
  <c r="J512" i="431"/>
  <c r="J61" i="435"/>
  <c r="L40" i="448" s="1"/>
  <c r="J21" i="435"/>
  <c r="P21"/>
  <c r="P61"/>
  <c r="F40" i="448" s="1"/>
  <c r="R61" i="435"/>
  <c r="D40" i="448" s="1"/>
  <c r="R21" i="435"/>
  <c r="L61"/>
  <c r="J40" i="448" s="1"/>
  <c r="L21" i="435"/>
  <c r="N61"/>
  <c r="H40" i="448" s="1"/>
  <c r="N21" i="435"/>
  <c r="N512" i="431"/>
  <c r="L512"/>
  <c r="M21" i="435"/>
  <c r="Q512" i="431"/>
  <c r="Q61" i="435"/>
  <c r="E40" i="448" s="1"/>
  <c r="M512" i="431"/>
  <c r="K7" i="435"/>
  <c r="K68" s="1"/>
  <c r="K512" i="431"/>
  <c r="Q7" l="1"/>
  <c r="L58" i="435"/>
  <c r="L82"/>
  <c r="M58"/>
  <c r="M82"/>
  <c r="Q58"/>
  <c r="Q82"/>
  <c r="P58"/>
  <c r="P82"/>
  <c r="O21"/>
  <c r="P46" i="447" s="1"/>
  <c r="P47" s="1"/>
  <c r="O68" i="435"/>
  <c r="N58"/>
  <c r="N82"/>
  <c r="R58"/>
  <c r="R82"/>
  <c r="J58"/>
  <c r="J82"/>
  <c r="N7" i="431"/>
  <c r="O46" i="447"/>
  <c r="O47" s="1"/>
  <c r="R7" i="431"/>
  <c r="S46" i="447"/>
  <c r="S47" s="1"/>
  <c r="P7" i="431"/>
  <c r="Q46" i="447"/>
  <c r="Q47" s="1"/>
  <c r="L7" i="431"/>
  <c r="M46" i="447"/>
  <c r="M47" s="1"/>
  <c r="R49"/>
  <c r="R48"/>
  <c r="M7" i="431"/>
  <c r="N46" i="447"/>
  <c r="N47" s="1"/>
  <c r="J7" i="431"/>
  <c r="K46" i="447"/>
  <c r="O61" i="435"/>
  <c r="G40" i="448" s="1"/>
  <c r="K21" i="435"/>
  <c r="K61"/>
  <c r="K40" i="448" s="1"/>
  <c r="O7" i="431" l="1"/>
  <c r="O58" i="435"/>
  <c r="O82"/>
  <c r="K58"/>
  <c r="K82"/>
  <c r="K47" i="447"/>
  <c r="K49" s="1"/>
  <c r="K7" i="431"/>
  <c r="L46" i="447"/>
  <c r="L47" s="1"/>
  <c r="N49"/>
  <c r="N48"/>
  <c r="M49"/>
  <c r="M48"/>
  <c r="Q48"/>
  <c r="Q49"/>
  <c r="O48"/>
  <c r="O49"/>
  <c r="P48"/>
  <c r="P49"/>
  <c r="S49"/>
  <c r="S48"/>
  <c r="E206" i="431"/>
  <c r="F206"/>
  <c r="G206"/>
  <c r="H206"/>
  <c r="I206"/>
  <c r="E87"/>
  <c r="F87"/>
  <c r="G87"/>
  <c r="H87"/>
  <c r="I87"/>
  <c r="F503"/>
  <c r="G503"/>
  <c r="H503"/>
  <c r="I503"/>
  <c r="F496"/>
  <c r="G496"/>
  <c r="H496"/>
  <c r="I496"/>
  <c r="F485"/>
  <c r="G485"/>
  <c r="H485"/>
  <c r="I485"/>
  <c r="F490"/>
  <c r="G490"/>
  <c r="H490"/>
  <c r="I490"/>
  <c r="E482"/>
  <c r="F482"/>
  <c r="G482"/>
  <c r="H482"/>
  <c r="I482"/>
  <c r="F444"/>
  <c r="F436"/>
  <c r="G436"/>
  <c r="H436"/>
  <c r="I436"/>
  <c r="F447"/>
  <c r="G447"/>
  <c r="H447"/>
  <c r="I447"/>
  <c r="G444"/>
  <c r="H444"/>
  <c r="I444"/>
  <c r="F452"/>
  <c r="G452"/>
  <c r="H452"/>
  <c r="I452"/>
  <c r="G471"/>
  <c r="H471"/>
  <c r="I471"/>
  <c r="F475"/>
  <c r="G475"/>
  <c r="H475"/>
  <c r="I475"/>
  <c r="F422"/>
  <c r="G422"/>
  <c r="H422"/>
  <c r="I422"/>
  <c r="F416"/>
  <c r="G416"/>
  <c r="H416"/>
  <c r="I416"/>
  <c r="F413"/>
  <c r="G413"/>
  <c r="H413"/>
  <c r="I413"/>
  <c r="F410"/>
  <c r="G410"/>
  <c r="H410"/>
  <c r="I410"/>
  <c r="E405"/>
  <c r="F405"/>
  <c r="G405"/>
  <c r="H405"/>
  <c r="I405"/>
  <c r="E364"/>
  <c r="F364"/>
  <c r="G364"/>
  <c r="H364"/>
  <c r="I364"/>
  <c r="E395"/>
  <c r="F395"/>
  <c r="G395"/>
  <c r="H395"/>
  <c r="I395"/>
  <c r="E358"/>
  <c r="F358"/>
  <c r="G358"/>
  <c r="H358"/>
  <c r="I358"/>
  <c r="E339"/>
  <c r="F339"/>
  <c r="G339"/>
  <c r="H339"/>
  <c r="I339"/>
  <c r="E336"/>
  <c r="F336"/>
  <c r="G336"/>
  <c r="H336"/>
  <c r="I336"/>
  <c r="G327"/>
  <c r="H327"/>
  <c r="I327"/>
  <c r="E305"/>
  <c r="F305"/>
  <c r="F14" i="435" s="1"/>
  <c r="F75" s="1"/>
  <c r="G305" i="431"/>
  <c r="G14" i="435" s="1"/>
  <c r="G75" s="1"/>
  <c r="H305" i="431"/>
  <c r="H14" i="435" s="1"/>
  <c r="H75" s="1"/>
  <c r="I305" i="431"/>
  <c r="I14" i="435" s="1"/>
  <c r="I75" s="1"/>
  <c r="K48" i="447" l="1"/>
  <c r="L48"/>
  <c r="L49"/>
  <c r="E20" i="435"/>
  <c r="E81" s="1"/>
  <c r="E14"/>
  <c r="E75" s="1"/>
  <c r="G20"/>
  <c r="G81" s="1"/>
  <c r="H20"/>
  <c r="H81" s="1"/>
  <c r="I20"/>
  <c r="I81" s="1"/>
  <c r="F20"/>
  <c r="F81" s="1"/>
  <c r="H425" i="431"/>
  <c r="H18" i="435" s="1"/>
  <c r="H79" s="1"/>
  <c r="I425" i="431"/>
  <c r="I18" i="435" s="1"/>
  <c r="I79" s="1"/>
  <c r="I480" i="431"/>
  <c r="I19" i="435" s="1"/>
  <c r="I80" s="1"/>
  <c r="F480" i="431"/>
  <c r="F19" i="435" s="1"/>
  <c r="F80" s="1"/>
  <c r="G480" i="431"/>
  <c r="G19" i="435" s="1"/>
  <c r="G80" s="1"/>
  <c r="F425" i="431"/>
  <c r="F18" i="435" s="1"/>
  <c r="F79" s="1"/>
  <c r="H480" i="431"/>
  <c r="H19" i="435" s="1"/>
  <c r="H80" s="1"/>
  <c r="H403" i="431"/>
  <c r="H17" i="435" s="1"/>
  <c r="H78" s="1"/>
  <c r="G425" i="431"/>
  <c r="G18" i="435" s="1"/>
  <c r="G79" s="1"/>
  <c r="E425" i="431"/>
  <c r="I403"/>
  <c r="I17" i="435" s="1"/>
  <c r="I78" s="1"/>
  <c r="E403" i="431"/>
  <c r="I362"/>
  <c r="I16" i="435" s="1"/>
  <c r="I77" s="1"/>
  <c r="E362" i="431"/>
  <c r="F403"/>
  <c r="F17" i="435" s="1"/>
  <c r="F78" s="1"/>
  <c r="G403" i="431"/>
  <c r="G17" i="435" s="1"/>
  <c r="G78" s="1"/>
  <c r="H362" i="431"/>
  <c r="H16" i="435" s="1"/>
  <c r="H77" s="1"/>
  <c r="G362" i="431"/>
  <c r="G16" i="435" s="1"/>
  <c r="G77" s="1"/>
  <c r="F362" i="431"/>
  <c r="F16" i="435" s="1"/>
  <c r="F77" s="1"/>
  <c r="G324" i="431"/>
  <c r="H324"/>
  <c r="I324"/>
  <c r="E319"/>
  <c r="F319"/>
  <c r="G319"/>
  <c r="H319"/>
  <c r="I319"/>
  <c r="E249"/>
  <c r="F249"/>
  <c r="G249"/>
  <c r="H249"/>
  <c r="E280"/>
  <c r="F280"/>
  <c r="G280"/>
  <c r="H280"/>
  <c r="I280"/>
  <c r="I249"/>
  <c r="E226"/>
  <c r="E242"/>
  <c r="F242"/>
  <c r="G242"/>
  <c r="H242"/>
  <c r="I242"/>
  <c r="E239"/>
  <c r="F239"/>
  <c r="G239"/>
  <c r="H239"/>
  <c r="I239"/>
  <c r="E236"/>
  <c r="F236"/>
  <c r="G236"/>
  <c r="H236"/>
  <c r="I236"/>
  <c r="E233"/>
  <c r="F233"/>
  <c r="G233"/>
  <c r="H233"/>
  <c r="I233"/>
  <c r="F226"/>
  <c r="G226"/>
  <c r="H226"/>
  <c r="I226"/>
  <c r="E212"/>
  <c r="F212"/>
  <c r="G212"/>
  <c r="H212"/>
  <c r="I212"/>
  <c r="G219"/>
  <c r="H219"/>
  <c r="E222"/>
  <c r="I219"/>
  <c r="E289"/>
  <c r="F289"/>
  <c r="F13" i="435" s="1"/>
  <c r="F74" s="1"/>
  <c r="G289" i="431"/>
  <c r="G13" i="435" s="1"/>
  <c r="G74" s="1"/>
  <c r="H289" i="431"/>
  <c r="H13" i="435" s="1"/>
  <c r="H74" s="1"/>
  <c r="I289" i="431"/>
  <c r="I13" i="435" s="1"/>
  <c r="I74" s="1"/>
  <c r="E25" i="431"/>
  <c r="F25"/>
  <c r="I10" i="435"/>
  <c r="I71" s="1"/>
  <c r="E191" i="431"/>
  <c r="E185"/>
  <c r="F185"/>
  <c r="G185"/>
  <c r="H185"/>
  <c r="E171"/>
  <c r="F171"/>
  <c r="G171"/>
  <c r="G10" i="435" s="1"/>
  <c r="G71" s="1"/>
  <c r="H171" i="431"/>
  <c r="E166"/>
  <c r="F166"/>
  <c r="G166"/>
  <c r="H166"/>
  <c r="I166"/>
  <c r="E158"/>
  <c r="F158"/>
  <c r="G158"/>
  <c r="H158"/>
  <c r="I158"/>
  <c r="E143"/>
  <c r="F143"/>
  <c r="G143"/>
  <c r="H143"/>
  <c r="I143"/>
  <c r="E137"/>
  <c r="F137"/>
  <c r="G137"/>
  <c r="H137"/>
  <c r="I137"/>
  <c r="E130"/>
  <c r="F130"/>
  <c r="G130"/>
  <c r="H130"/>
  <c r="I130"/>
  <c r="G116"/>
  <c r="H116"/>
  <c r="I116"/>
  <c r="G111"/>
  <c r="H111"/>
  <c r="I111"/>
  <c r="E107"/>
  <c r="F107"/>
  <c r="G107"/>
  <c r="H107"/>
  <c r="I107"/>
  <c r="E95"/>
  <c r="F95"/>
  <c r="G95"/>
  <c r="H95"/>
  <c r="I95"/>
  <c r="E99"/>
  <c r="F99"/>
  <c r="G99"/>
  <c r="H99"/>
  <c r="I99"/>
  <c r="E58"/>
  <c r="F58"/>
  <c r="G58"/>
  <c r="H58"/>
  <c r="I58"/>
  <c r="E52"/>
  <c r="F52"/>
  <c r="G52"/>
  <c r="H52"/>
  <c r="I52"/>
  <c r="E39"/>
  <c r="F39"/>
  <c r="G39"/>
  <c r="H39"/>
  <c r="I39"/>
  <c r="E34"/>
  <c r="F34"/>
  <c r="G34"/>
  <c r="H34"/>
  <c r="I34"/>
  <c r="G25"/>
  <c r="H25"/>
  <c r="I25"/>
  <c r="F18"/>
  <c r="G18"/>
  <c r="H18"/>
  <c r="I18"/>
  <c r="F10"/>
  <c r="G10"/>
  <c r="H10"/>
  <c r="I10"/>
  <c r="R6" i="435"/>
  <c r="F7" i="431" l="1"/>
  <c r="E169"/>
  <c r="F169"/>
  <c r="F124"/>
  <c r="F8" i="435" s="1"/>
  <c r="F69" s="1"/>
  <c r="H8" i="431"/>
  <c r="H7" i="435" s="1"/>
  <c r="H68" s="1"/>
  <c r="E124" i="431"/>
  <c r="E7" s="1"/>
  <c r="G8"/>
  <c r="G7" i="435" s="1"/>
  <c r="G68" s="1"/>
  <c r="I8" i="431"/>
  <c r="I7" i="435" s="1"/>
  <c r="I68" s="1"/>
  <c r="E8" i="431"/>
  <c r="F8"/>
  <c r="F7" i="435" s="1"/>
  <c r="H10"/>
  <c r="H71" s="1"/>
  <c r="Q6"/>
  <c r="P6" s="1"/>
  <c r="R24"/>
  <c r="E13"/>
  <c r="E74" s="1"/>
  <c r="E18"/>
  <c r="E79" s="1"/>
  <c r="E16"/>
  <c r="E77" s="1"/>
  <c r="E19"/>
  <c r="E80" s="1"/>
  <c r="E17"/>
  <c r="E78" s="1"/>
  <c r="E303" i="431"/>
  <c r="I247"/>
  <c r="I12" i="435" s="1"/>
  <c r="H247" i="431"/>
  <c r="H12" i="435" s="1"/>
  <c r="G303" i="431"/>
  <c r="G15" i="435" s="1"/>
  <c r="G76" s="1"/>
  <c r="I124" i="431"/>
  <c r="I8" i="435" s="1"/>
  <c r="I69" s="1"/>
  <c r="G210" i="431"/>
  <c r="G11" i="435" s="1"/>
  <c r="G72" s="1"/>
  <c r="E210" i="431"/>
  <c r="I303"/>
  <c r="I15" i="435" s="1"/>
  <c r="I76" s="1"/>
  <c r="F210" i="431"/>
  <c r="F11" i="435" s="1"/>
  <c r="F72" s="1"/>
  <c r="H303" i="431"/>
  <c r="H15" i="435" s="1"/>
  <c r="H76" s="1"/>
  <c r="F247" i="431"/>
  <c r="F12" i="435" s="1"/>
  <c r="G247" i="431"/>
  <c r="G12" i="435" s="1"/>
  <c r="F303" i="431"/>
  <c r="F15" i="435" s="1"/>
  <c r="F76" s="1"/>
  <c r="H210" i="431"/>
  <c r="H11" i="435" s="1"/>
  <c r="H72" s="1"/>
  <c r="I210" i="431"/>
  <c r="I11" i="435" s="1"/>
  <c r="I72" s="1"/>
  <c r="I141" i="431"/>
  <c r="E141"/>
  <c r="F141"/>
  <c r="G124"/>
  <c r="G8" i="435" s="1"/>
  <c r="G69" s="1"/>
  <c r="H124" i="431"/>
  <c r="H8" i="435" s="1"/>
  <c r="H69" s="1"/>
  <c r="G141" i="431"/>
  <c r="H141"/>
  <c r="J50" i="447" l="1"/>
  <c r="I73" i="435"/>
  <c r="G50" i="447"/>
  <c r="F73" i="435"/>
  <c r="I50" i="447"/>
  <c r="H73" i="435"/>
  <c r="H50" i="447"/>
  <c r="G73" i="435"/>
  <c r="O17" i="449"/>
  <c r="Q17" s="1"/>
  <c r="S17" s="1"/>
  <c r="F68" i="435"/>
  <c r="F10"/>
  <c r="F71" s="1"/>
  <c r="F61"/>
  <c r="G61"/>
  <c r="O40" i="448" s="1"/>
  <c r="H61" i="435"/>
  <c r="N40" i="448" s="1"/>
  <c r="I61" i="435"/>
  <c r="M40" i="448" s="1"/>
  <c r="P24" i="435"/>
  <c r="Q24"/>
  <c r="E8"/>
  <c r="E69" s="1"/>
  <c r="E11"/>
  <c r="E72" s="1"/>
  <c r="E15"/>
  <c r="E76" s="1"/>
  <c r="E12"/>
  <c r="E10"/>
  <c r="E71" s="1"/>
  <c r="E7"/>
  <c r="E9"/>
  <c r="E70" s="1"/>
  <c r="E512" i="431"/>
  <c r="G512"/>
  <c r="G9" i="435"/>
  <c r="H9"/>
  <c r="H70" s="1"/>
  <c r="H512" i="431"/>
  <c r="F9" i="435"/>
  <c r="F70" s="1"/>
  <c r="F512" i="431"/>
  <c r="I9" i="435"/>
  <c r="I70" s="1"/>
  <c r="I512" i="431"/>
  <c r="O6" i="435"/>
  <c r="H7" i="431"/>
  <c r="G7"/>
  <c r="I7"/>
  <c r="G21" i="435" l="1"/>
  <c r="G82" s="1"/>
  <c r="G70"/>
  <c r="O18" i="449"/>
  <c r="Q18" s="1"/>
  <c r="S18" s="1"/>
  <c r="U18" s="1"/>
  <c r="E68" i="435"/>
  <c r="F50" i="447"/>
  <c r="E73" i="435"/>
  <c r="H46" i="447"/>
  <c r="H47" s="1"/>
  <c r="H49" s="1"/>
  <c r="F21" i="435"/>
  <c r="F82" s="1"/>
  <c r="P40" i="448"/>
  <c r="E61" i="435"/>
  <c r="Q40" i="448" s="1"/>
  <c r="I21" i="435"/>
  <c r="I82" s="1"/>
  <c r="H21"/>
  <c r="O24"/>
  <c r="E21"/>
  <c r="E82" s="1"/>
  <c r="N6"/>
  <c r="G58" l="1"/>
  <c r="H58"/>
  <c r="H82"/>
  <c r="H48" i="447"/>
  <c r="J46"/>
  <c r="J47" s="1"/>
  <c r="J48" s="1"/>
  <c r="I58" i="435"/>
  <c r="G46" i="447"/>
  <c r="G47" s="1"/>
  <c r="F58" i="435"/>
  <c r="F46" i="447"/>
  <c r="F47" s="1"/>
  <c r="F48" s="1"/>
  <c r="E58" i="435"/>
  <c r="I46" i="447"/>
  <c r="I47" s="1"/>
  <c r="O104" i="442" s="1"/>
  <c r="P104" s="1"/>
  <c r="O102"/>
  <c r="N24" i="435"/>
  <c r="M6"/>
  <c r="J49" i="447" l="1"/>
  <c r="F49"/>
  <c r="G48"/>
  <c r="G49"/>
  <c r="I48"/>
  <c r="E100" i="442" s="1"/>
  <c r="F100" s="1"/>
  <c r="J100" s="1"/>
  <c r="I49" i="447"/>
  <c r="E102" i="442" s="1"/>
  <c r="F102" s="1"/>
  <c r="J102" s="1"/>
  <c r="M24" i="435"/>
  <c r="L6"/>
  <c r="L24" l="1"/>
  <c r="K6"/>
  <c r="K24" l="1"/>
  <c r="J6"/>
  <c r="J24" l="1"/>
  <c r="G6" l="1"/>
  <c r="G67" s="1"/>
  <c r="G24" l="1"/>
  <c r="F6"/>
  <c r="F67" s="1"/>
  <c r="F24" l="1"/>
  <c r="E6"/>
  <c r="E67" s="1"/>
  <c r="E24" l="1"/>
  <c r="D6"/>
  <c r="D24" l="1"/>
  <c r="D67"/>
  <c r="C6"/>
  <c r="S7"/>
  <c r="S68" s="1"/>
  <c r="C67" l="1"/>
  <c r="B6"/>
  <c r="C24"/>
  <c r="S21"/>
  <c r="S82" s="1"/>
  <c r="S61"/>
  <c r="C40" i="448" s="1"/>
  <c r="S512" i="431"/>
  <c r="B67" i="435" l="1"/>
  <c r="N102" i="442"/>
  <c r="P102" s="1"/>
  <c r="B24" i="435"/>
  <c r="O101" i="442"/>
  <c r="P101" s="1"/>
  <c r="S58" i="435"/>
  <c r="R41" i="448"/>
  <c r="S41"/>
  <c r="S7" i="431"/>
  <c r="T46" i="447"/>
  <c r="I41" i="448"/>
  <c r="Q41"/>
  <c r="K41"/>
  <c r="M41"/>
  <c r="F41"/>
  <c r="N41"/>
  <c r="E41"/>
  <c r="O41"/>
  <c r="P41"/>
  <c r="J41"/>
  <c r="D41"/>
  <c r="G41"/>
  <c r="L41"/>
  <c r="H41"/>
  <c r="Q101" i="442" l="1"/>
  <c r="T101" s="1"/>
  <c r="T47" i="447"/>
  <c r="T48" s="1"/>
  <c r="B46"/>
  <c r="O94" i="442" s="1"/>
  <c r="N43" i="448"/>
  <c r="M43"/>
  <c r="O103" i="442" l="1"/>
  <c r="P103" s="1"/>
  <c r="Q103" s="1"/>
  <c r="T103" s="1"/>
  <c r="B47" i="447"/>
  <c r="O95" i="442" s="1"/>
  <c r="E99"/>
  <c r="F99" s="1"/>
  <c r="J99" s="1"/>
  <c r="B48" i="447"/>
  <c r="F94" i="442" s="1"/>
  <c r="T49" i="447"/>
  <c r="G99" i="442" l="1"/>
  <c r="I99" s="1"/>
  <c r="E101"/>
  <c r="F101" s="1"/>
  <c r="B49" i="447"/>
  <c r="F95" i="442" s="1"/>
  <c r="G101" l="1"/>
  <c r="I101" s="1"/>
  <c r="J101"/>
</calcChain>
</file>

<file path=xl/comments1.xml><?xml version="1.0" encoding="utf-8"?>
<comments xmlns="http://schemas.openxmlformats.org/spreadsheetml/2006/main">
  <authors>
    <author>FACostello</author>
  </authors>
  <commentList>
    <comment ref="R12" authorId="0">
      <text>
        <r>
          <rPr>
            <b/>
            <sz val="9"/>
            <color indexed="81"/>
            <rFont val="Tahoma"/>
            <family val="2"/>
          </rPr>
          <t>FACostello:</t>
        </r>
        <r>
          <rPr>
            <sz val="9"/>
            <color indexed="81"/>
            <rFont val="Tahoma"/>
            <family val="2"/>
          </rPr>
          <t xml:space="preserve">
WABE 2015, Pg 52, shows $0 for health insurance but 16.33% for health insurance.  We used the 16.33%.  With $0, this cell would have $82583</t>
        </r>
      </text>
    </comment>
    <comment ref="Q64" authorId="0">
      <text>
        <r>
          <rPr>
            <b/>
            <sz val="9"/>
            <color indexed="81"/>
            <rFont val="Tahoma"/>
            <family val="2"/>
          </rPr>
          <t>See, for example, WABE 2014, Pg 38: FY 2014 Salary Information</t>
        </r>
      </text>
    </comment>
  </commentList>
</comments>
</file>

<file path=xl/sharedStrings.xml><?xml version="1.0" encoding="utf-8"?>
<sst xmlns="http://schemas.openxmlformats.org/spreadsheetml/2006/main" count="1716" uniqueCount="1147">
  <si>
    <t>Director</t>
  </si>
  <si>
    <t>TOTAL</t>
  </si>
  <si>
    <t>Utilities</t>
  </si>
  <si>
    <t>Division Superintendent</t>
  </si>
  <si>
    <t>-</t>
  </si>
  <si>
    <t>Deputy Superintendent</t>
  </si>
  <si>
    <t>$ -</t>
  </si>
  <si>
    <t>Certified Athletic Trainer</t>
  </si>
  <si>
    <t>Librarian</t>
  </si>
  <si>
    <t>Custodian</t>
  </si>
  <si>
    <t>Assistant Superintendent</t>
  </si>
  <si>
    <t>Career Center Specialist</t>
  </si>
  <si>
    <t>TOTAL EXPENDITURES</t>
  </si>
  <si>
    <t>Position Detail by Position Type</t>
  </si>
  <si>
    <t>FY 2007-2011</t>
  </si>
  <si>
    <t>Divisionwide Counsel</t>
  </si>
  <si>
    <t>Leadership Team Total</t>
  </si>
  <si>
    <t>Principal-Elementary School</t>
  </si>
  <si>
    <t>Principal-Middle School</t>
  </si>
  <si>
    <t>Principal-High School</t>
  </si>
  <si>
    <t>Principal-Special Education</t>
  </si>
  <si>
    <t>Principal-Alternative High School</t>
  </si>
  <si>
    <t>Principals Total</t>
  </si>
  <si>
    <t>Assistant Principal-Elementary School</t>
  </si>
  <si>
    <t>Assistant Principal-Middle School</t>
  </si>
  <si>
    <t>Assistant Principal-High School</t>
  </si>
  <si>
    <t>Assistant Principal-Special Education</t>
  </si>
  <si>
    <t>Assistant Principal-Alternative</t>
  </si>
  <si>
    <t>Director-Student Activities</t>
  </si>
  <si>
    <t>Director-Guidance</t>
  </si>
  <si>
    <t>Assistant Principals Total</t>
  </si>
  <si>
    <t>Coordinator</t>
  </si>
  <si>
    <t>Supervisors Total</t>
  </si>
  <si>
    <t>Hearing Officer/Assistant</t>
  </si>
  <si>
    <t>Executive Assistant</t>
  </si>
  <si>
    <t>Auditor</t>
  </si>
  <si>
    <t>Functional Supervisor</t>
  </si>
  <si>
    <t>Psychologist</t>
  </si>
  <si>
    <t>Social Worker</t>
  </si>
  <si>
    <t>Instructional Specialist</t>
  </si>
  <si>
    <t>Business Specialist</t>
  </si>
  <si>
    <t>Technical Specialist</t>
  </si>
  <si>
    <t>Specialists Total</t>
  </si>
  <si>
    <t>Technician</t>
  </si>
  <si>
    <t>Safety/Security Specialist</t>
  </si>
  <si>
    <t>Safety/Security Assistant</t>
  </si>
  <si>
    <t>Technical Personnel Total</t>
  </si>
  <si>
    <t>Teacher-Kindergarten</t>
  </si>
  <si>
    <t>Teacher-Elementary (1-6)</t>
  </si>
  <si>
    <t>Teacher Elementary - PE/Music/Art</t>
  </si>
  <si>
    <t>Teacher-Middle School</t>
  </si>
  <si>
    <t>Teacher-High School</t>
  </si>
  <si>
    <t>Teacher-Special Education</t>
  </si>
  <si>
    <t>Teacher-Reading</t>
  </si>
  <si>
    <t>Teacher-Title I</t>
  </si>
  <si>
    <t>Teacher-Elementary Art</t>
  </si>
  <si>
    <t>Teacher-GT Resource</t>
  </si>
  <si>
    <t>Teacher-Instrumental Music</t>
  </si>
  <si>
    <t>Teacher-Planetarium</t>
  </si>
  <si>
    <t>Teacher-Professional Technical</t>
  </si>
  <si>
    <t>Teacher-Work Experience Program</t>
  </si>
  <si>
    <t>Teacher-Instructional Support</t>
  </si>
  <si>
    <t>Guidance Counselor-Middle/High</t>
  </si>
  <si>
    <t>Guidance Counselor-Elementary School</t>
  </si>
  <si>
    <t>Audiologist</t>
  </si>
  <si>
    <t>Teacher-Staffing Reserve</t>
  </si>
  <si>
    <t>Physical/Occupational Therapist</t>
  </si>
  <si>
    <t>Teacher-Professional Technical Academy</t>
  </si>
  <si>
    <t>Teacher-Alternative Education</t>
  </si>
  <si>
    <t>Teacher-ESOL</t>
  </si>
  <si>
    <t>Teacher-Professional Technical Projects</t>
  </si>
  <si>
    <t>Teacher-Lab</t>
  </si>
  <si>
    <t>Teachers Total</t>
  </si>
  <si>
    <t>Instructional Assistant-Kindergarten</t>
  </si>
  <si>
    <t>Instructional Assistant-General</t>
  </si>
  <si>
    <t>Instructional Assistant-Special Education</t>
  </si>
  <si>
    <t>Instructional Assistant-Alternative Education</t>
  </si>
  <si>
    <t>Instructional Assistant-Specialized Program</t>
  </si>
  <si>
    <t>Instructional Assistant-Staffing Reserve</t>
  </si>
  <si>
    <t>Instructional Assistants Total</t>
  </si>
  <si>
    <t>Public Health Training Assistant</t>
  </si>
  <si>
    <t>Special Education Attendant</t>
  </si>
  <si>
    <t>Specialized Assistants Total</t>
  </si>
  <si>
    <t>Office Assistant-Elementary School</t>
  </si>
  <si>
    <t>Office Assistant-Middle School</t>
  </si>
  <si>
    <t>Office Assistant-Secondary</t>
  </si>
  <si>
    <t>Office Assistant-Special Education</t>
  </si>
  <si>
    <t>Program/Administrative Assistant</t>
  </si>
  <si>
    <t>Technical Assistant</t>
  </si>
  <si>
    <t>Office Assistant Personnel Total</t>
  </si>
  <si>
    <t>Tradesperson</t>
  </si>
  <si>
    <t>Security Officer</t>
  </si>
  <si>
    <t>Trades Personnel Total</t>
  </si>
  <si>
    <t>Field Custodian</t>
  </si>
  <si>
    <t>Plant Operations Monitor</t>
  </si>
  <si>
    <t>Custodial Personnel Total</t>
  </si>
  <si>
    <t>Route Supervisor</t>
  </si>
  <si>
    <t>SCHOOL OPERATING FUND TOTAL</t>
  </si>
  <si>
    <t>Teacher-FECEP</t>
  </si>
  <si>
    <t>Regular salaries</t>
  </si>
  <si>
    <t>Salary supplements</t>
  </si>
  <si>
    <t>Employee benefits</t>
  </si>
  <si>
    <t>Mat'l and supplies</t>
  </si>
  <si>
    <t>Travel expenses</t>
  </si>
  <si>
    <t>Other operating expenses</t>
  </si>
  <si>
    <t>Maintenance by contractors</t>
  </si>
  <si>
    <t>County services</t>
  </si>
  <si>
    <t>Capital expenses</t>
  </si>
  <si>
    <t>Transfer out</t>
  </si>
  <si>
    <t>Construction &amp; insurance</t>
  </si>
  <si>
    <t>http://www.fcps.edu/fs/budget/budgetdocuments.shtml</t>
  </si>
  <si>
    <t>All budget documents, all years</t>
  </si>
  <si>
    <t>Hourly salaries contracted</t>
  </si>
  <si>
    <t>Hourly salaries non contracted</t>
  </si>
  <si>
    <t>FY</t>
  </si>
  <si>
    <t>Actual</t>
  </si>
  <si>
    <t>Estimate</t>
  </si>
  <si>
    <t>Approved</t>
  </si>
  <si>
    <t xml:space="preserve">102PRINCIPALS </t>
  </si>
  <si>
    <t xml:space="preserve">104ASSISTANT PRINCIPALS </t>
  </si>
  <si>
    <t xml:space="preserve">106SUPERVISORS </t>
  </si>
  <si>
    <t xml:space="preserve">108SPECIALISTS </t>
  </si>
  <si>
    <t xml:space="preserve">109TECHNICAL PERSONNEL </t>
  </si>
  <si>
    <t>http://www.fcps.edu/fs/budget/documents/proposed/FY14/FY2014ProposedBudget.pdf</t>
  </si>
  <si>
    <t xml:space="preserve">110TEACHERS </t>
  </si>
  <si>
    <t xml:space="preserve">114INSTRUCTIONAL ASSISTANTS </t>
  </si>
  <si>
    <t xml:space="preserve">120OFFICE ASSISTANT PERSONNEL </t>
  </si>
  <si>
    <t xml:space="preserve">122TRADES PERSONNEL </t>
  </si>
  <si>
    <t xml:space="preserve">FOOD AND NUTRITION FUND </t>
  </si>
  <si>
    <t xml:space="preserve">1060 DIRECTOR </t>
  </si>
  <si>
    <t xml:space="preserve">1061 COORDINATOR </t>
  </si>
  <si>
    <t xml:space="preserve">1083 BUSINESS SPECIALIST </t>
  </si>
  <si>
    <t xml:space="preserve">1090 TECHNICIAN </t>
  </si>
  <si>
    <t xml:space="preserve">1204 PROGRAM/ADMINISTRATIVE ASSISTANT </t>
  </si>
  <si>
    <t xml:space="preserve">1206 TECHNICAL ASSISTANT </t>
  </si>
  <si>
    <t xml:space="preserve">1220 TRADESPERSON </t>
  </si>
  <si>
    <t xml:space="preserve">GRANTS AND SELF SUPPORTING FUND </t>
  </si>
  <si>
    <t xml:space="preserve">1020 PRINCIPAL ES </t>
  </si>
  <si>
    <t xml:space="preserve">1044 ASST PRINCIPAL ALT </t>
  </si>
  <si>
    <t xml:space="preserve">1066 FUNCTIONAL SUPERVISOR </t>
  </si>
  <si>
    <t xml:space="preserve">1081 SOCIAL WORKER </t>
  </si>
  <si>
    <t xml:space="preserve">1082 INSTRUCTIONAL SPECIALIST </t>
  </si>
  <si>
    <t xml:space="preserve">1087 TECH SPECIALIST </t>
  </si>
  <si>
    <t xml:space="preserve">1103 TCHR MS </t>
  </si>
  <si>
    <t xml:space="preserve">1104 TCHR HS </t>
  </si>
  <si>
    <t xml:space="preserve">1105 TCHR SPECIAL ED </t>
  </si>
  <si>
    <t xml:space="preserve">1109 TCHR TITLE I </t>
  </si>
  <si>
    <t xml:space="preserve">1110 TCHR-TITLE I PARENT INVOLVEMENT 0.0 0.0 </t>
  </si>
  <si>
    <t xml:space="preserve">1112 TCHR FECEP </t>
  </si>
  <si>
    <t xml:space="preserve">1118 TCHR INSTRL SUPPORT </t>
  </si>
  <si>
    <t xml:space="preserve">1119 SCHOOL COUNS SVS MS/HS 0.0 0.0 </t>
  </si>
  <si>
    <t xml:space="preserve">1120 SCHOOL COUNS SVS ES 0.0 </t>
  </si>
  <si>
    <t xml:space="preserve">1133 TCHR ALTERNATIVE ED </t>
  </si>
  <si>
    <t xml:space="preserve">1134 TCHR ESL </t>
  </si>
  <si>
    <t>1142 INSTRL ASSIST SP ED 0.0 0.0 0.0 0.</t>
  </si>
  <si>
    <t xml:space="preserve">1144 INSTRL ASSIST SP PRG </t>
  </si>
  <si>
    <t xml:space="preserve">1146 IA- TITLE I </t>
  </si>
  <si>
    <t xml:space="preserve">ADULT AND COMMUNITY EDUCATION FUND </t>
  </si>
  <si>
    <t xml:space="preserve">1066 FUNCTIONAL SUPERVISOR 0.0 0.0 0.0 </t>
  </si>
  <si>
    <t>1101 TCHR ES (1-6)</t>
  </si>
  <si>
    <t xml:space="preserve">1092 CAREER CENTER SPEC 0.0 0.0 0.0 0.0 </t>
  </si>
  <si>
    <t xml:space="preserve">1104 TCHR HS 0.0 0.0 0.0 </t>
  </si>
  <si>
    <t xml:space="preserve">1135 TCHR PROF TECH PROJ </t>
  </si>
  <si>
    <t xml:space="preserve">CONSTRUCTION FUND </t>
  </si>
  <si>
    <t>1060 DIRECTOR 0.</t>
  </si>
  <si>
    <t xml:space="preserve">1066 FUNCTIONAL SUPERVISOR 0.0 </t>
  </si>
  <si>
    <t xml:space="preserve">INSURANCE FUND </t>
  </si>
  <si>
    <t xml:space="preserve">HEALTH AND FLEXIBLE BENEFITS FUND </t>
  </si>
  <si>
    <t xml:space="preserve">1087 TECH SPECIALIST 0.0 0.0 0.0 0.0 </t>
  </si>
  <si>
    <t xml:space="preserve">CENTRAL PROCUREMENT FUND </t>
  </si>
  <si>
    <t xml:space="preserve">ER-FC FUND </t>
  </si>
  <si>
    <t>Attorney</t>
  </si>
  <si>
    <t>Transportation personnel</t>
  </si>
  <si>
    <t>Pg 184 of FY 2014 Proposed Budget</t>
  </si>
  <si>
    <t>Pg 396 of FY 2011 approved budget</t>
  </si>
  <si>
    <t>FY:</t>
  </si>
  <si>
    <t xml:space="preserve">TOTAL REVENUE </t>
  </si>
  <si>
    <t xml:space="preserve">## TRANSFERS IN - COUNTY </t>
  </si>
  <si>
    <t xml:space="preserve">### SCHOOL OPERATIONS </t>
  </si>
  <si>
    <t xml:space="preserve">### STATE REVENUE </t>
  </si>
  <si>
    <t xml:space="preserve">## SALES TAX RECEIPTS </t>
  </si>
  <si>
    <t xml:space="preserve">### SALES TAX </t>
  </si>
  <si>
    <t xml:space="preserve">## SOQ/EQUALIZED ACCOUNTS </t>
  </si>
  <si>
    <t xml:space="preserve">### BASIC SCHOOL AID </t>
  </si>
  <si>
    <t xml:space="preserve">### GIFTED EDUCATION </t>
  </si>
  <si>
    <t xml:space="preserve">### REMEDIAL EDUCATION </t>
  </si>
  <si>
    <t xml:space="preserve">### SPECIAL EDUCATION </t>
  </si>
  <si>
    <t xml:space="preserve">### VOCATIONAL </t>
  </si>
  <si>
    <t xml:space="preserve">### SOCIAL SECURITY </t>
  </si>
  <si>
    <t xml:space="preserve">### STATE RETIREMENT </t>
  </si>
  <si>
    <t xml:space="preserve">### STATE GROUP LIFE INS. </t>
  </si>
  <si>
    <t xml:space="preserve">## INCENTIVE PROGRAMS 0 </t>
  </si>
  <si>
    <t xml:space="preserve">## CATEGORICAL PROGRAMS </t>
  </si>
  <si>
    <t xml:space="preserve">### HOMEBOUND </t>
  </si>
  <si>
    <t xml:space="preserve">## OTHER STATE AID </t>
  </si>
  <si>
    <t xml:space="preserve">### VISUALLY HANDICAPPED AID </t>
  </si>
  <si>
    <t xml:space="preserve">### GAE-ADULT SEC ED </t>
  </si>
  <si>
    <t xml:space="preserve">## STATE GRANTS </t>
  </si>
  <si>
    <t xml:space="preserve">### STATE GRANTS </t>
  </si>
  <si>
    <t xml:space="preserve">## LOTTERY FUNDED </t>
  </si>
  <si>
    <t xml:space="preserve">### AT RISK </t>
  </si>
  <si>
    <t xml:space="preserve">### FOSTER CARE </t>
  </si>
  <si>
    <t xml:space="preserve">### GOVERNOR'S SCHOOL </t>
  </si>
  <si>
    <t>### REDUCED K-3</t>
  </si>
  <si>
    <t xml:space="preserve">### SPECIAL EDUCATION REGIONAL </t>
  </si>
  <si>
    <t xml:space="preserve">### EARLY READING INTERVENTION </t>
  </si>
  <si>
    <t xml:space="preserve">### SOL ALGEBRA READINESS </t>
  </si>
  <si>
    <t xml:space="preserve">### FEDERAL REVENUE </t>
  </si>
  <si>
    <t xml:space="preserve">## IMPACT AID </t>
  </si>
  <si>
    <t xml:space="preserve">### IMPACT AID </t>
  </si>
  <si>
    <t xml:space="preserve">### IMPACT AID-SEVERE DISBLD DOD </t>
  </si>
  <si>
    <t xml:space="preserve">## FEDERAL GRANTS </t>
  </si>
  <si>
    <t xml:space="preserve">### STATE STABILIZATION - ARRA </t>
  </si>
  <si>
    <t xml:space="preserve">### PRESCHOOL - ARRA </t>
  </si>
  <si>
    <t xml:space="preserve">### FEDERAL GRANTS </t>
  </si>
  <si>
    <t xml:space="preserve">### SPECIAL EDUCATION-PERKINS </t>
  </si>
  <si>
    <t xml:space="preserve">### SPEC ED HEARING APPEALS-FEDERAL </t>
  </si>
  <si>
    <t xml:space="preserve">### PROF TECH EDUCATION-PERKINS </t>
  </si>
  <si>
    <t xml:space="preserve">## E-RATE </t>
  </si>
  <si>
    <t xml:space="preserve">## SPECIAL EDUCATION </t>
  </si>
  <si>
    <t xml:space="preserve">### IDEA - ARRA </t>
  </si>
  <si>
    <t xml:space="preserve">## JUNIOR ROTC PROGRAM </t>
  </si>
  <si>
    <t xml:space="preserve">### NJROTC PROGRAM </t>
  </si>
  <si>
    <t xml:space="preserve">## FAIRFAX CITY </t>
  </si>
  <si>
    <t xml:space="preserve">### FAIRFAX CITY EDUCATION CONTRACT </t>
  </si>
  <si>
    <t xml:space="preserve">## DAY SCHOOL TUITION </t>
  </si>
  <si>
    <t xml:space="preserve">### OUT-OF-COUNTY INDIVIDUALS </t>
  </si>
  <si>
    <t xml:space="preserve">### VA SCHOOL DISTRICTS (SPECIAL ED) </t>
  </si>
  <si>
    <t xml:space="preserve">## ADULT TUITION </t>
  </si>
  <si>
    <t xml:space="preserve">### ALTERNATIVE SCHOOL </t>
  </si>
  <si>
    <t xml:space="preserve">### ADULT GENERAL EDUCATION </t>
  </si>
  <si>
    <t xml:space="preserve">### VOC EDUCATION LPN </t>
  </si>
  <si>
    <t xml:space="preserve">## SUMMER SCHOOL TUITION </t>
  </si>
  <si>
    <t xml:space="preserve">### SUMMER SCHOOL TUITION </t>
  </si>
  <si>
    <t xml:space="preserve">### INTERSESSION CLASS TUITION </t>
  </si>
  <si>
    <t xml:space="preserve">## OTHER FEES </t>
  </si>
  <si>
    <t xml:space="preserve">### DUES DEDUCTION FEES </t>
  </si>
  <si>
    <t xml:space="preserve">### STAFF DEVELOPMENT FEES </t>
  </si>
  <si>
    <t xml:space="preserve">### MONOPOLE FEE </t>
  </si>
  <si>
    <t xml:space="preserve">## SCHOOL FEES </t>
  </si>
  <si>
    <t xml:space="preserve">### MUSICAL INSTRUMENT REPAIR FEES </t>
  </si>
  <si>
    <t xml:space="preserve">### NATIONAL SYMPHONY CONCERT FEES </t>
  </si>
  <si>
    <t xml:space="preserve">### FIELD TRIP FEES </t>
  </si>
  <si>
    <t xml:space="preserve">### STUDENT PARKING FEES </t>
  </si>
  <si>
    <t xml:space="preserve">### ATHLETIC FEES </t>
  </si>
  <si>
    <t xml:space="preserve">### MISCELLANEOUS REVENUE </t>
  </si>
  <si>
    <t xml:space="preserve">## INSURANCE CLAIMS &amp; RESTITUTION </t>
  </si>
  <si>
    <t xml:space="preserve">### REBATES &amp; INSURANCE PROCEEDS </t>
  </si>
  <si>
    <t xml:space="preserve">### VANDALISM &amp; REPAIR </t>
  </si>
  <si>
    <t xml:space="preserve">### RESTITUTION </t>
  </si>
  <si>
    <t xml:space="preserve">### LOST &amp; DAMAGED PROPERTY </t>
  </si>
  <si>
    <t xml:space="preserve">### SETTLEMENT PROCEEDS </t>
  </si>
  <si>
    <t xml:space="preserve">## PRIVATE GRANTS </t>
  </si>
  <si>
    <t xml:space="preserve">### PRIVATE INDUSTRY GRANTS </t>
  </si>
  <si>
    <t xml:space="preserve">### FAIRFAX EDUCATION FOUNDATION </t>
  </si>
  <si>
    <t xml:space="preserve">## OTHER REVENUE </t>
  </si>
  <si>
    <t xml:space="preserve">### LOCAL FUND EXPENDITURES </t>
  </si>
  <si>
    <t xml:space="preserve">### EMPLOYEES ON LOAN TO OTHER AGENCIES </t>
  </si>
  <si>
    <t xml:space="preserve">### EDUCATION FOUNDATION </t>
  </si>
  <si>
    <t xml:space="preserve">### EXTRA CURRICULAR CHARGES </t>
  </si>
  <si>
    <t xml:space="preserve">## DONATIONS </t>
  </si>
  <si>
    <t xml:space="preserve">### OTHER DONATIONS </t>
  </si>
  <si>
    <t xml:space="preserve">## FACILITIES USE </t>
  </si>
  <si>
    <t xml:space="preserve">### FACILITIES USE RENTAL INCOME </t>
  </si>
  <si>
    <t xml:space="preserve">### FACILITIES USE-CUMMULATIVE DEPOSITS </t>
  </si>
  <si>
    <t xml:space="preserve">## SALE OF PROPERTY </t>
  </si>
  <si>
    <t xml:space="preserve">### SALE OF USED EQUIPMENT </t>
  </si>
  <si>
    <t xml:space="preserve">### SALE OF VEHICLES </t>
  </si>
  <si>
    <t xml:space="preserve">### SALE OF SALVAGE </t>
  </si>
  <si>
    <t xml:space="preserve">Total Expenditures </t>
  </si>
  <si>
    <t xml:space="preserve">### REGULAR SALARIES - CONTRACTED </t>
  </si>
  <si>
    <t xml:space="preserve">## LEADERSHIP TEAM </t>
  </si>
  <si>
    <t xml:space="preserve">### DIVISION SUPT </t>
  </si>
  <si>
    <t xml:space="preserve">### DIVISIONWIDE COUNSEL </t>
  </si>
  <si>
    <t xml:space="preserve">## PRINCIPALS </t>
  </si>
  <si>
    <t xml:space="preserve">### PRINCIPAL ES </t>
  </si>
  <si>
    <t xml:space="preserve">### PRINCIPAL MS </t>
  </si>
  <si>
    <t xml:space="preserve">### PRINCIPAL HS </t>
  </si>
  <si>
    <t xml:space="preserve">### PRINCIPAL SPECL ED </t>
  </si>
  <si>
    <t xml:space="preserve">### PRINCIPAL ALT HS </t>
  </si>
  <si>
    <t xml:space="preserve">## ASSISTANT PRINCIPALS </t>
  </si>
  <si>
    <t xml:space="preserve">### ASST PRINCIPAL ES </t>
  </si>
  <si>
    <t xml:space="preserve">### ASST PRINCIPAL MS </t>
  </si>
  <si>
    <t xml:space="preserve">### ASST PRINCIPAL HS </t>
  </si>
  <si>
    <t xml:space="preserve">### ASST PRINCPAL SP ED </t>
  </si>
  <si>
    <t xml:space="preserve">### ASST PRINCIPAL ALT </t>
  </si>
  <si>
    <t xml:space="preserve">### STUDT ACT DIRECTOR </t>
  </si>
  <si>
    <t xml:space="preserve">## SUPERVISORS </t>
  </si>
  <si>
    <t xml:space="preserve">### DIRECTOR </t>
  </si>
  <si>
    <t xml:space="preserve">### COORDINATOR </t>
  </si>
  <si>
    <t xml:space="preserve">## SPECIALISTS </t>
  </si>
  <si>
    <t xml:space="preserve">### HEARING OFFICER/ASST </t>
  </si>
  <si>
    <t xml:space="preserve">### EXECUTIVE ASSISTANT </t>
  </si>
  <si>
    <t xml:space="preserve">### AUDITOR </t>
  </si>
  <si>
    <t xml:space="preserve">### FUNCTIONAL SUPERVISOR </t>
  </si>
  <si>
    <t xml:space="preserve">### ATTORNEY </t>
  </si>
  <si>
    <t xml:space="preserve">### CERTIFIED ATHLETIC TRAINER </t>
  </si>
  <si>
    <t xml:space="preserve">### PSYCHOLOGIST </t>
  </si>
  <si>
    <t xml:space="preserve">### SOCIAL WORKER </t>
  </si>
  <si>
    <t xml:space="preserve">### INSTRUCTIONAL SPECIALIST </t>
  </si>
  <si>
    <t xml:space="preserve">### TECH SPECIALIST </t>
  </si>
  <si>
    <t xml:space="preserve">## TECHNICAL PERSONNEL </t>
  </si>
  <si>
    <t xml:space="preserve">### TECHNICIAN </t>
  </si>
  <si>
    <t xml:space="preserve">### SAFETY/SECURTY SPEC </t>
  </si>
  <si>
    <t xml:space="preserve">### SAFETY/SECURTY ASST </t>
  </si>
  <si>
    <t xml:space="preserve">## TEACHERS </t>
  </si>
  <si>
    <t xml:space="preserve">### TCHR KINDERGARTEN </t>
  </si>
  <si>
    <t>### TCHR ES (1-6)</t>
  </si>
  <si>
    <t xml:space="preserve">### TCHR ES - PE/MUSIC/ART </t>
  </si>
  <si>
    <t xml:space="preserve">### TCHR MS </t>
  </si>
  <si>
    <t xml:space="preserve">### TCHR HS </t>
  </si>
  <si>
    <t xml:space="preserve">### TCHR SPECIAL ED </t>
  </si>
  <si>
    <t xml:space="preserve">### TCHR READING </t>
  </si>
  <si>
    <t xml:space="preserve">### TCHR TITLE I </t>
  </si>
  <si>
    <t xml:space="preserve">### TCHR ES ART </t>
  </si>
  <si>
    <t xml:space="preserve">### TCHR GT RESOURCE </t>
  </si>
  <si>
    <t xml:space="preserve">### TCHR INSTMNTL MUSIC </t>
  </si>
  <si>
    <t xml:space="preserve">### TCHR PLANETARIUM </t>
  </si>
  <si>
    <t xml:space="preserve">### TCHR PROF TECH </t>
  </si>
  <si>
    <t xml:space="preserve">### TCHR WORK EXPER PRG </t>
  </si>
  <si>
    <t xml:space="preserve">### TCHR INSTRL SUPPORT </t>
  </si>
  <si>
    <t xml:space="preserve">### SCHOOL COUNS SVS MS/HS </t>
  </si>
  <si>
    <t xml:space="preserve">### SCHOOL COUNS SVS ES </t>
  </si>
  <si>
    <t xml:space="preserve">### LIBRARIAN </t>
  </si>
  <si>
    <t xml:space="preserve">### AUDIOLOGIST </t>
  </si>
  <si>
    <t xml:space="preserve">### TCHR STAFFNG RESRVE </t>
  </si>
  <si>
    <t xml:space="preserve">### TCHR PROF TECH ACAD </t>
  </si>
  <si>
    <t xml:space="preserve">### TCHR ALTERNATIVE ED </t>
  </si>
  <si>
    <t xml:space="preserve">### TCHR ESL </t>
  </si>
  <si>
    <t xml:space="preserve">### TCHR PROF TECH PROJ </t>
  </si>
  <si>
    <t xml:space="preserve">### TCHR LAB </t>
  </si>
  <si>
    <t xml:space="preserve">## INSTRUCTIONAL ASSISTANTS </t>
  </si>
  <si>
    <t xml:space="preserve">### INSTRUCTL ASSIST K </t>
  </si>
  <si>
    <t xml:space="preserve">### INSTRL ASSIST GENRL </t>
  </si>
  <si>
    <t xml:space="preserve">### INSTRL ASSIST SP ED </t>
  </si>
  <si>
    <t xml:space="preserve">### INSTRL ASSIST ALT </t>
  </si>
  <si>
    <t xml:space="preserve">### INSTRL ASSIST SP PRG </t>
  </si>
  <si>
    <t xml:space="preserve">### INSTRL ASSIST RESRV </t>
  </si>
  <si>
    <t xml:space="preserve">SPECIALIZED ASSISTANTS </t>
  </si>
  <si>
    <t xml:space="preserve">### PUB HLTH TRN ASSIST </t>
  </si>
  <si>
    <t xml:space="preserve">### SPECIAL EDUCATION ATTENDANT </t>
  </si>
  <si>
    <t xml:space="preserve">## OFFICE ASSISTANT PERSONNEL </t>
  </si>
  <si>
    <t xml:space="preserve">### OFFICE ASSIST ES </t>
  </si>
  <si>
    <t xml:space="preserve">### OFFICE ASSIST MS </t>
  </si>
  <si>
    <t xml:space="preserve">### OFFICE ASSIST SEC </t>
  </si>
  <si>
    <t xml:space="preserve">### OFFICE ASSIST SP ED </t>
  </si>
  <si>
    <t xml:space="preserve">### PROGRAM/ADMINISTRATIVE ASSISTANT </t>
  </si>
  <si>
    <t xml:space="preserve">### TECHNICAL ASSISTANT </t>
  </si>
  <si>
    <t xml:space="preserve">## TRADES PERSONNEL </t>
  </si>
  <si>
    <t xml:space="preserve">### TRADESPERSON </t>
  </si>
  <si>
    <t xml:space="preserve">### SECURITY OFFICER </t>
  </si>
  <si>
    <t xml:space="preserve">## CUSTODIAL PERSONNEL </t>
  </si>
  <si>
    <t xml:space="preserve">### CUSTODIAN </t>
  </si>
  <si>
    <t xml:space="preserve">### FIELD CUSTODIAN </t>
  </si>
  <si>
    <t xml:space="preserve">### PLANT OPERATIONS MONITOR </t>
  </si>
  <si>
    <t xml:space="preserve">## TRANSPORTATION PERSONNEL </t>
  </si>
  <si>
    <t xml:space="preserve">## SALARY ADJUSTMENTS </t>
  </si>
  <si>
    <t xml:space="preserve">### TURNOVER </t>
  </si>
  <si>
    <t xml:space="preserve">### VACANCY </t>
  </si>
  <si>
    <t xml:space="preserve">### HOURLY SALARIES - CONTRACTED </t>
  </si>
  <si>
    <t xml:space="preserve">## OVERTIME </t>
  </si>
  <si>
    <t xml:space="preserve">### OVERTIME </t>
  </si>
  <si>
    <t xml:space="preserve">### OVERBASE SALARIES </t>
  </si>
  <si>
    <t xml:space="preserve">## TRANSPORTATION </t>
  </si>
  <si>
    <t xml:space="preserve">### BUS DRIVER </t>
  </si>
  <si>
    <t xml:space="preserve">### BUS ATTENDANT </t>
  </si>
  <si>
    <t xml:space="preserve">### BUS DRVR - FIELD TRIP </t>
  </si>
  <si>
    <t xml:space="preserve">### PERFRM ACT FLD TRIP </t>
  </si>
  <si>
    <t xml:space="preserve">### VAN DRIVER - TRANSPORTATION </t>
  </si>
  <si>
    <t xml:space="preserve">## FIELD TRIPS </t>
  </si>
  <si>
    <t xml:space="preserve">### BUS DRVR VHSL TRIP </t>
  </si>
  <si>
    <t xml:space="preserve">### MILEAGE ONLY VHSL TRIP </t>
  </si>
  <si>
    <t xml:space="preserve">### HOURLY SALARIES - NONCONTRACTED </t>
  </si>
  <si>
    <t xml:space="preserve">## HOURLY SALARIES </t>
  </si>
  <si>
    <t xml:space="preserve">### HRLY TEACHER </t>
  </si>
  <si>
    <t xml:space="preserve">### HRLY TECHNICAL </t>
  </si>
  <si>
    <t xml:space="preserve">### HRLY OFFICE ASSIST </t>
  </si>
  <si>
    <t xml:space="preserve">### HRLY CUSTODIAN </t>
  </si>
  <si>
    <t xml:space="preserve">### HRLY INSTRL ASSIST </t>
  </si>
  <si>
    <t xml:space="preserve">### HRLY DINING ASSIST </t>
  </si>
  <si>
    <t xml:space="preserve">### HRLY PROFESSIONAL </t>
  </si>
  <si>
    <t xml:space="preserve">### HOURLY TRADES </t>
  </si>
  <si>
    <t xml:space="preserve">### HRLY TEMP ALT DUTY </t>
  </si>
  <si>
    <t xml:space="preserve">### HRLY PARENT LIAISON </t>
  </si>
  <si>
    <t xml:space="preserve">### HOURLY PUBLIC HEALTH ATTENDANT </t>
  </si>
  <si>
    <t xml:space="preserve">### AFTER SCHOOL PROGRAMS </t>
  </si>
  <si>
    <t xml:space="preserve">### HRLY ACTNG SB ADMIN </t>
  </si>
  <si>
    <t xml:space="preserve">## SUBSTITUTE COSTS-LEAVE </t>
  </si>
  <si>
    <t xml:space="preserve">### SUBS SICK/PERSNL LV </t>
  </si>
  <si>
    <t xml:space="preserve">### SUBS OFFICL/VAC LV </t>
  </si>
  <si>
    <t xml:space="preserve">### SUBS STUDENT ACTIVS </t>
  </si>
  <si>
    <t xml:space="preserve">### SUBS ORGANIZATNL LV </t>
  </si>
  <si>
    <t xml:space="preserve">### SUBSTITUTE </t>
  </si>
  <si>
    <t xml:space="preserve">### SUBS S/T DISABILITY </t>
  </si>
  <si>
    <t xml:space="preserve">## SUBSTITUTE COSTS-TRAINING </t>
  </si>
  <si>
    <t xml:space="preserve">### SUBS TRAINING </t>
  </si>
  <si>
    <t xml:space="preserve">### SALARY SUPPLEMENTS </t>
  </si>
  <si>
    <t xml:space="preserve">## SUPPLEMENTS </t>
  </si>
  <si>
    <t xml:space="preserve">### SCHOOL BOARD MEMBER </t>
  </si>
  <si>
    <t xml:space="preserve">### COURT SUPPLEMENT </t>
  </si>
  <si>
    <t xml:space="preserve">### EXTRA DUTY SUPPLEMENT </t>
  </si>
  <si>
    <t xml:space="preserve">### ATHLETIC COACHING SUPPLEMENT </t>
  </si>
  <si>
    <t xml:space="preserve">### OUTSTAND PERF AWARD </t>
  </si>
  <si>
    <t xml:space="preserve">### RECRUITMENT BONUS </t>
  </si>
  <si>
    <t xml:space="preserve">### SALARY SUPPLEMENT </t>
  </si>
  <si>
    <t xml:space="preserve">### DEPT CHAIR STIPEND </t>
  </si>
  <si>
    <t xml:space="preserve">## SALARY PLACEHOLDERS </t>
  </si>
  <si>
    <t xml:space="preserve">### SALARY PLACEHOLDER </t>
  </si>
  <si>
    <t xml:space="preserve">### RECLASSIFCATN RESRV </t>
  </si>
  <si>
    <t xml:space="preserve">### DEGREE SUPPLEMENT </t>
  </si>
  <si>
    <t xml:space="preserve">### SCHOOL TESTING REQUIREMENTS </t>
  </si>
  <si>
    <t xml:space="preserve">## LEAVE PAYMENTS </t>
  </si>
  <si>
    <t xml:space="preserve">### ANNUAL LV PAYMENT </t>
  </si>
  <si>
    <t xml:space="preserve">### SICK LV PAYMENT </t>
  </si>
  <si>
    <t xml:space="preserve">### SICK LEAVE BANK </t>
  </si>
  <si>
    <t xml:space="preserve">### EXTENDED SICK LV </t>
  </si>
  <si>
    <t xml:space="preserve">### SEVERANCE PAY </t>
  </si>
  <si>
    <t xml:space="preserve">### S/T DISABILITY COMP </t>
  </si>
  <si>
    <t xml:space="preserve">## REIMBURSABLE SALARIES </t>
  </si>
  <si>
    <t xml:space="preserve">### COMMUNITY USE </t>
  </si>
  <si>
    <t xml:space="preserve">### FIELD TRIP GENERAL </t>
  </si>
  <si>
    <t xml:space="preserve">### SCHOOL ACTIVITIES </t>
  </si>
  <si>
    <t xml:space="preserve">### GRANT INDIRECT COST RECOVERY </t>
  </si>
  <si>
    <t xml:space="preserve">### EMPLOYEE BENEFITS </t>
  </si>
  <si>
    <t xml:space="preserve">## RETIREMENT </t>
  </si>
  <si>
    <t xml:space="preserve">### VRS RETIREMENT </t>
  </si>
  <si>
    <t xml:space="preserve">### ERFC RETIREMENT </t>
  </si>
  <si>
    <t xml:space="preserve">### FCERS CNTY RETIREMT </t>
  </si>
  <si>
    <t xml:space="preserve">### VRS RETIREE MEDICAL </t>
  </si>
  <si>
    <t xml:space="preserve">## SOCIAL SECURITY </t>
  </si>
  <si>
    <t xml:space="preserve">## LIFE INSURANCE </t>
  </si>
  <si>
    <t xml:space="preserve">### STATE LIFE INSURNCE </t>
  </si>
  <si>
    <t xml:space="preserve">### CNTY LIFE INSURNCE </t>
  </si>
  <si>
    <t xml:space="preserve">## HEALTH INSURANCE </t>
  </si>
  <si>
    <t xml:space="preserve">### HEALTH CHOICE </t>
  </si>
  <si>
    <t xml:space="preserve">### KAISER </t>
  </si>
  <si>
    <t xml:space="preserve">### AETNA DENTAL </t>
  </si>
  <si>
    <t xml:space="preserve">### RETIREE HEALTH INSURANCE </t>
  </si>
  <si>
    <t xml:space="preserve">## SALARY PROTECTION </t>
  </si>
  <si>
    <t xml:space="preserve">### LONG TERM DISABILTY </t>
  </si>
  <si>
    <t xml:space="preserve">## WORKERS COMPENSATION </t>
  </si>
  <si>
    <t xml:space="preserve">### WORKERS COMP </t>
  </si>
  <si>
    <t xml:space="preserve">## UNEMPLOYMENT COMPENSATION </t>
  </si>
  <si>
    <t xml:space="preserve">### UNEMPLOYMENT COMP </t>
  </si>
  <si>
    <t xml:space="preserve">### EMPLYEE BEN VACANCY </t>
  </si>
  <si>
    <t xml:space="preserve">### EMPLYEE BEN TURNOVR </t>
  </si>
  <si>
    <t xml:space="preserve">### MATERIALS AND SUPPLIES </t>
  </si>
  <si>
    <t xml:space="preserve">## MATERIALS AND SUPPLIES </t>
  </si>
  <si>
    <t xml:space="preserve">### INSTRUCTL SUPPLIES </t>
  </si>
  <si>
    <t xml:space="preserve">### TEXTBOOKS </t>
  </si>
  <si>
    <t xml:space="preserve">### GEN OFFICE SUPPLIES </t>
  </si>
  <si>
    <t xml:space="preserve">### COMPUTER SUPPLIES </t>
  </si>
  <si>
    <t xml:space="preserve">### TESTS </t>
  </si>
  <si>
    <t xml:space="preserve">### CUSTODIAL SUPPLIES </t>
  </si>
  <si>
    <t xml:space="preserve">### POSTAL SERVICE </t>
  </si>
  <si>
    <t>### ADDL EQUIP &lt;$5000</t>
  </si>
  <si>
    <t xml:space="preserve">### FORMS/STATIONERY </t>
  </si>
  <si>
    <t xml:space="preserve">### LIBRARY COLLECTIONS </t>
  </si>
  <si>
    <t xml:space="preserve">### LIBRARY MATERIALS/SUPPLIES </t>
  </si>
  <si>
    <t xml:space="preserve">### PERIODICALS </t>
  </si>
  <si>
    <t xml:space="preserve">### REFERENCE BOOKS </t>
  </si>
  <si>
    <t xml:space="preserve">### AUDIO VISUAL SUPPLIES </t>
  </si>
  <si>
    <t xml:space="preserve">### BOOKBINDING </t>
  </si>
  <si>
    <t xml:space="preserve">### SCH FLEXIBLTY RESRV </t>
  </si>
  <si>
    <t>### FIXED ASSETS&gt;$5000</t>
  </si>
  <si>
    <t xml:space="preserve">### EMPLOYEE AWARDS AND RECOGNITION </t>
  </si>
  <si>
    <t xml:space="preserve">### SPECIAL FUNCTIONS </t>
  </si>
  <si>
    <t xml:space="preserve">### TECHNICAL EQUIP NON CAP </t>
  </si>
  <si>
    <t xml:space="preserve">### SOFTWARE NON CAP </t>
  </si>
  <si>
    <t xml:space="preserve">## REPAIR &amp; MAINTENANCE MATERIALS </t>
  </si>
  <si>
    <t xml:space="preserve">### TOOLS </t>
  </si>
  <si>
    <t xml:space="preserve">### MAINTENANCE SUPPS </t>
  </si>
  <si>
    <t xml:space="preserve">### TELEPHONE MAINTENANCE </t>
  </si>
  <si>
    <t xml:space="preserve">### COMPUTR REPAIR PART </t>
  </si>
  <si>
    <t xml:space="preserve">## UTILITIES </t>
  </si>
  <si>
    <t xml:space="preserve">### FUEL OIL </t>
  </si>
  <si>
    <t xml:space="preserve">### NATURAL GAS </t>
  </si>
  <si>
    <t xml:space="preserve">### ELECTRICITY </t>
  </si>
  <si>
    <t xml:space="preserve">### LOCAL TELEPHONE </t>
  </si>
  <si>
    <t xml:space="preserve">### LONG DIST TELEPHONE </t>
  </si>
  <si>
    <t xml:space="preserve">### WATER </t>
  </si>
  <si>
    <t xml:space="preserve">### SEWER </t>
  </si>
  <si>
    <t xml:space="preserve">### REFUSE </t>
  </si>
  <si>
    <t xml:space="preserve">### CELLULAR/PAGER SVCS </t>
  </si>
  <si>
    <t xml:space="preserve">### SMDS LINES </t>
  </si>
  <si>
    <t xml:space="preserve">### ISDN LINES </t>
  </si>
  <si>
    <t xml:space="preserve">### OTHER OPERATING EXPENDITURES </t>
  </si>
  <si>
    <t xml:space="preserve">## TRAVEL </t>
  </si>
  <si>
    <t xml:space="preserve">### LOCAL TRAVEL </t>
  </si>
  <si>
    <t xml:space="preserve">### OFFICIAL TRAVEL </t>
  </si>
  <si>
    <t xml:space="preserve">### LEGISLATIVE TRAVEL </t>
  </si>
  <si>
    <t xml:space="preserve">### RECRUITMENT TRAVEL </t>
  </si>
  <si>
    <t xml:space="preserve">## STAFF TRAINING </t>
  </si>
  <si>
    <t xml:space="preserve">### TECHNICAL TRAINING </t>
  </si>
  <si>
    <t xml:space="preserve">### TUITION </t>
  </si>
  <si>
    <t xml:space="preserve">### PROFL DEVELOPMENT </t>
  </si>
  <si>
    <t xml:space="preserve">### SCHL BASED PROF DEV </t>
  </si>
  <si>
    <t xml:space="preserve">### STAFF DEVELOPMENT </t>
  </si>
  <si>
    <t xml:space="preserve">## AWARDS </t>
  </si>
  <si>
    <t xml:space="preserve">### ACADEMIC AWARDS </t>
  </si>
  <si>
    <t xml:space="preserve">### DIPLOMAS </t>
  </si>
  <si>
    <t xml:space="preserve">### AWARDS/BANQUETS </t>
  </si>
  <si>
    <t xml:space="preserve">## UNIFORMS </t>
  </si>
  <si>
    <t xml:space="preserve">### UNIFORMS </t>
  </si>
  <si>
    <t xml:space="preserve">## SCHOOL INITIATIVES </t>
  </si>
  <si>
    <t xml:space="preserve">### EQUAL OPPORTUN GRNT </t>
  </si>
  <si>
    <t xml:space="preserve">### SCHOOL INITIATIVES </t>
  </si>
  <si>
    <t xml:space="preserve">### POST-SEASON ACTIVS </t>
  </si>
  <si>
    <t xml:space="preserve">### COLLEGE NIGHT MATLS </t>
  </si>
  <si>
    <t xml:space="preserve">### OFFICIAL FEES </t>
  </si>
  <si>
    <t xml:space="preserve">### TARGET FUNDING </t>
  </si>
  <si>
    <t xml:space="preserve">## ADMIN./INDIRECT COSTS </t>
  </si>
  <si>
    <t xml:space="preserve">### ADMIN/INDIRECT COST </t>
  </si>
  <si>
    <t xml:space="preserve">## FEES </t>
  </si>
  <si>
    <t xml:space="preserve">### COPYRIGHTS </t>
  </si>
  <si>
    <t xml:space="preserve">### DUPLICATION RIGHTS FEES </t>
  </si>
  <si>
    <t xml:space="preserve">### PERMITS </t>
  </si>
  <si>
    <t xml:space="preserve">### PHYSICAL EXAMS </t>
  </si>
  <si>
    <t xml:space="preserve">### MEMBERSHIP FEES </t>
  </si>
  <si>
    <t xml:space="preserve">### ACCREDITATION </t>
  </si>
  <si>
    <t xml:space="preserve">### ADMISSION FEES </t>
  </si>
  <si>
    <t xml:space="preserve">### SP ED HEARNG APPEALS </t>
  </si>
  <si>
    <t xml:space="preserve">### REIMBURSEMENTS </t>
  </si>
  <si>
    <t xml:space="preserve">### SETTLEMENT FEES </t>
  </si>
  <si>
    <t xml:space="preserve">## CONTINGENCY </t>
  </si>
  <si>
    <t xml:space="preserve">### SCHOOL MATLS RESRVE </t>
  </si>
  <si>
    <t xml:space="preserve">### UNALLOCATED GRANTS </t>
  </si>
  <si>
    <t xml:space="preserve">### FLEXIBILITY RESERVE </t>
  </si>
  <si>
    <t xml:space="preserve">### CONTINGENCY RESERVE </t>
  </si>
  <si>
    <t>## WORK PERFORMED FOR OTHERS - MATERIALS (</t>
  </si>
  <si>
    <t xml:space="preserve">### PRIVATIZED SERVICES </t>
  </si>
  <si>
    <t xml:space="preserve">## MAINTENANCE CONTRACTS </t>
  </si>
  <si>
    <t xml:space="preserve">### COMPUTER EQUIP SVC </t>
  </si>
  <si>
    <t xml:space="preserve">### OFFICE EQUIP SVC </t>
  </si>
  <si>
    <t xml:space="preserve">### COPIER SERVICE </t>
  </si>
  <si>
    <t xml:space="preserve">### MUSIC INSTRUMNT SVC </t>
  </si>
  <si>
    <t xml:space="preserve">### OTHER SVCS CONTRACT </t>
  </si>
  <si>
    <t xml:space="preserve">### SOFTWARE MAINTENANCE </t>
  </si>
  <si>
    <t xml:space="preserve">## CONTRACTED SERVICES </t>
  </si>
  <si>
    <t xml:space="preserve">### LEGAL FEES </t>
  </si>
  <si>
    <t xml:space="preserve">### ARCHITECTURAL FEES </t>
  </si>
  <si>
    <t xml:space="preserve">### ENGINEERING FEES </t>
  </si>
  <si>
    <t xml:space="preserve">### INVESTMENT SERVICES </t>
  </si>
  <si>
    <t xml:space="preserve">### MEDICAL FEES </t>
  </si>
  <si>
    <t xml:space="preserve">### NON-RESIDTL TUITION </t>
  </si>
  <si>
    <t xml:space="preserve">### STUDT/PARENT TRANSP </t>
  </si>
  <si>
    <t xml:space="preserve">### HOMEBOUND PAYMENTS </t>
  </si>
  <si>
    <t xml:space="preserve">### RECRUIT ADVERTISING </t>
  </si>
  <si>
    <t xml:space="preserve">### LEGAL NOTICE ADVERTISING </t>
  </si>
  <si>
    <t xml:space="preserve">### OTHER PROFESSL SVCS </t>
  </si>
  <si>
    <t xml:space="preserve">### CREDIT CARD DISCOUNT FEES </t>
  </si>
  <si>
    <t xml:space="preserve">### STD CLAIMS MNGMNT </t>
  </si>
  <si>
    <t xml:space="preserve">### INTERNAL PROFESSIONAL SERVICES </t>
  </si>
  <si>
    <t xml:space="preserve">### AUDIT FEES </t>
  </si>
  <si>
    <t xml:space="preserve">### TECHNICAL SERVICES </t>
  </si>
  <si>
    <t xml:space="preserve">## RENTAL FEES </t>
  </si>
  <si>
    <t xml:space="preserve">### EQUIP/FURNTURE RNTL </t>
  </si>
  <si>
    <t xml:space="preserve">### COPIER RENTAL </t>
  </si>
  <si>
    <t xml:space="preserve">### SHORT TERM RENTAL &amp; RELATED COSTS </t>
  </si>
  <si>
    <t xml:space="preserve">### MUSIC INSTRUMT RNTL </t>
  </si>
  <si>
    <t xml:space="preserve">### POOL RENTAL </t>
  </si>
  <si>
    <t xml:space="preserve">### REAL ESTATE LEASES </t>
  </si>
  <si>
    <t xml:space="preserve">### COUNTY SERVICES </t>
  </si>
  <si>
    <t xml:space="preserve">## DEPARTMENT OF VEHICLE SERVICES </t>
  </si>
  <si>
    <t xml:space="preserve">### VEHICLE FUEL </t>
  </si>
  <si>
    <t xml:space="preserve">### LABOR </t>
  </si>
  <si>
    <t xml:space="preserve">### VEHICLE PARTS </t>
  </si>
  <si>
    <t xml:space="preserve">## COMPUTER CENTER CHARGES </t>
  </si>
  <si>
    <t xml:space="preserve">### COMPUTR CENTR CHRGS </t>
  </si>
  <si>
    <t xml:space="preserve">## FIRE MARSHAL INSPECTION CHARGES </t>
  </si>
  <si>
    <t xml:space="preserve">### FIRE MARSHL INSPECTS </t>
  </si>
  <si>
    <t xml:space="preserve">## POLICE SERVICES </t>
  </si>
  <si>
    <t xml:space="preserve">### POLICE SERVICES-APP FUNDS </t>
  </si>
  <si>
    <t xml:space="preserve">### POLICE SERVICES-SAF </t>
  </si>
  <si>
    <t xml:space="preserve">### POLICE SERVICES-GRADUATIONS &amp; REG EVENTS </t>
  </si>
  <si>
    <t xml:space="preserve">### POLICE SERVICES-PTA SPONSORED EVENTS </t>
  </si>
  <si>
    <t xml:space="preserve">## PRINTING </t>
  </si>
  <si>
    <t xml:space="preserve">### PRINTING </t>
  </si>
  <si>
    <t xml:space="preserve">### CAPITAL OUTLAY </t>
  </si>
  <si>
    <t xml:space="preserve">## EQUIPMENT </t>
  </si>
  <si>
    <t>### REPLACE EQUIP &lt;$5000</t>
  </si>
  <si>
    <t>### REPLACE EQUIP &gt;$5000</t>
  </si>
  <si>
    <t>### ADDITL EQUIP &gt;$5000</t>
  </si>
  <si>
    <t>### NEW CAPITAL EQUIPMENT &lt;$5000</t>
  </si>
  <si>
    <t xml:space="preserve">### LIBRARY COLLECTION EXP </t>
  </si>
  <si>
    <t xml:space="preserve">### FCPS GENERAL CAP </t>
  </si>
  <si>
    <t xml:space="preserve">## BUSES/VEHICLES </t>
  </si>
  <si>
    <t xml:space="preserve">### REPLACEMENT BUSES </t>
  </si>
  <si>
    <t xml:space="preserve">### REPLACEMNT VEHICLES </t>
  </si>
  <si>
    <t xml:space="preserve">### ADDITIONAL VEHICLES </t>
  </si>
  <si>
    <t xml:space="preserve">### REPL BUSES-DEPRECIATION FUNDED </t>
  </si>
  <si>
    <t xml:space="preserve">### REPLACEMT BUSES LEASES-INTEREST </t>
  </si>
  <si>
    <t xml:space="preserve">### REPLACEMENT VEHICLES-INTEREST </t>
  </si>
  <si>
    <t xml:space="preserve">## LAND AND IMPROVEMENTS </t>
  </si>
  <si>
    <t xml:space="preserve">### SITE IMPROVEMENT </t>
  </si>
  <si>
    <t xml:space="preserve">## PORTABLE BUILDINGS </t>
  </si>
  <si>
    <t xml:space="preserve">### TEMPORARY BUILDINGS </t>
  </si>
  <si>
    <t xml:space="preserve">### PARKOS LEASES-INTEREST </t>
  </si>
  <si>
    <t xml:space="preserve">### PORTABLE BUILDING EXP </t>
  </si>
  <si>
    <t xml:space="preserve">## FACILITIES MODIFICATIONS </t>
  </si>
  <si>
    <t xml:space="preserve">### CONSTRUCT CONSULT </t>
  </si>
  <si>
    <t xml:space="preserve">### CONSTRUCT-EQUIP ACQ </t>
  </si>
  <si>
    <t xml:space="preserve">### TECHNOLOGY INFRASTRUCTURE </t>
  </si>
  <si>
    <t xml:space="preserve">### FACILITY MODIFICATN </t>
  </si>
  <si>
    <t xml:space="preserve">### ENERGY CONSERVATION SYSTEM </t>
  </si>
  <si>
    <t xml:space="preserve">### ROOF REPLACEMENT </t>
  </si>
  <si>
    <t xml:space="preserve">## EQUIPMENT LEASES PURCHASES </t>
  </si>
  <si>
    <t xml:space="preserve">### EQUIPMENT LEASES-PRINCIPAL </t>
  </si>
  <si>
    <t xml:space="preserve">### VEHICLE LEASES-PRINCIPAL </t>
  </si>
  <si>
    <t xml:space="preserve">### BUILDING LEASES-PRINCIPAL </t>
  </si>
  <si>
    <t xml:space="preserve">### ADDITIONAL EQUIPMENT LEASES-INTEREST </t>
  </si>
  <si>
    <t xml:space="preserve">### BUILDING LEASES-INTEREST </t>
  </si>
  <si>
    <t xml:space="preserve">## COMPUTER LEASES </t>
  </si>
  <si>
    <t xml:space="preserve">### COMPUTER LEASES </t>
  </si>
  <si>
    <t xml:space="preserve">### COMPUTER LEASES-INTEREST </t>
  </si>
  <si>
    <t xml:space="preserve">## SOFTWARE LEASES </t>
  </si>
  <si>
    <t xml:space="preserve">### SOFTWARE LEASES </t>
  </si>
  <si>
    <t xml:space="preserve">### CAPITALIZED SOFTWARE </t>
  </si>
  <si>
    <t xml:space="preserve">### OTHER FUNDS </t>
  </si>
  <si>
    <t xml:space="preserve">## BUILDING CONSTRUCTION </t>
  </si>
  <si>
    <t xml:space="preserve">### CONSTRUCTION CONTINGENCIES </t>
  </si>
  <si>
    <t xml:space="preserve">## FOOD SERVICE COSTS </t>
  </si>
  <si>
    <t xml:space="preserve">### FOOD PRODUCTS </t>
  </si>
  <si>
    <t xml:space="preserve">### VENDING </t>
  </si>
  <si>
    <t xml:space="preserve">### FOOD SERVICE PAPER PRODUCTS </t>
  </si>
  <si>
    <t xml:space="preserve">## CENTRAL PROCUREMENT </t>
  </si>
  <si>
    <t xml:space="preserve">### OFFICE DEPOT PASSIVE ORDER PAPER ACCOUNT </t>
  </si>
  <si>
    <t xml:space="preserve">## INSURANCE </t>
  </si>
  <si>
    <t xml:space="preserve">### COMP GENL LIABILITY </t>
  </si>
  <si>
    <t xml:space="preserve">### INSURANCE COVERAGE </t>
  </si>
  <si>
    <t xml:space="preserve">### PRIOR YEAR GENERAL LIABILITY </t>
  </si>
  <si>
    <t xml:space="preserve">## TRANSFER OUT </t>
  </si>
  <si>
    <t xml:space="preserve">### TO DEBT SERVICE </t>
  </si>
  <si>
    <t xml:space="preserve">### EQUIPMENT TRANSFER </t>
  </si>
  <si>
    <t xml:space="preserve">### CAPITL EXPEND TRANS </t>
  </si>
  <si>
    <t xml:space="preserve">### TO GRNTS &amp; SELF-SUPORTNG </t>
  </si>
  <si>
    <t xml:space="preserve">### TO SUMMER SCHOOL </t>
  </si>
  <si>
    <t xml:space="preserve">### TO ADULT &amp; COMM ED </t>
  </si>
  <si>
    <t>Revised</t>
  </si>
  <si>
    <t>From WABE</t>
  </si>
  <si>
    <t>### DEPUTY SUPT  &amp; REGIONAL SUPT</t>
  </si>
  <si>
    <t>### ASSISTANT SUPT &amp; CLUSTER DIRECTOR</t>
  </si>
  <si>
    <t>### BUSINESS SPECIALIST &amp; PROGRAM MONITOR &amp; ADULT EDUCATION SUPERVISOR</t>
  </si>
  <si>
    <t>### CAREER CENTER SPEC  &amp; SPECIAL ED ATTENDANT</t>
  </si>
  <si>
    <t>### PHYS/OCC THERAPIST &amp; EDUCATIONAL DIAGNOSTICIAN</t>
  </si>
  <si>
    <t>### ROUTE SUPERVISOR , Trans coord, Bus trainer</t>
  </si>
  <si>
    <t>Chief Academic Officer</t>
  </si>
  <si>
    <t>Chief Operating Officer</t>
  </si>
  <si>
    <t>Regional Superintendent</t>
  </si>
  <si>
    <t>Cluster Director</t>
  </si>
  <si>
    <t>Program Monitor</t>
  </si>
  <si>
    <t>Adult Education Program Supervisor</t>
  </si>
  <si>
    <t>Teacher-Consulting</t>
  </si>
  <si>
    <t>Educational Diagnostician</t>
  </si>
  <si>
    <t>Teacher - Kindergarten Title I</t>
  </si>
  <si>
    <t>1203 OFFICE ASSIST SP ED (was middle school)</t>
  </si>
  <si>
    <t>1204 PROGRAM/ADMINISTRATIVE ASSISTANT (was depts)</t>
  </si>
  <si>
    <t>Expenditures</t>
  </si>
  <si>
    <t xml:space="preserve">STATE REVENUE </t>
  </si>
  <si>
    <t xml:space="preserve">TRANSFERS IN </t>
  </si>
  <si>
    <t xml:space="preserve">FEDERAL REVENUE </t>
  </si>
  <si>
    <t xml:space="preserve">CITY REVENUE </t>
  </si>
  <si>
    <t xml:space="preserve">TUITION FEES &amp; OTHER CHGS FOR SERVICES </t>
  </si>
  <si>
    <t xml:space="preserve">MISCELLANEOUS REVENUE </t>
  </si>
  <si>
    <t xml:space="preserve">REVENUE FROM USE OF MONEY &amp; PROPERTY </t>
  </si>
  <si>
    <t>Fiscal Year:</t>
  </si>
  <si>
    <t>### SALES TAX - HOLD HARMLESS</t>
  </si>
  <si>
    <t>### GED PROGRAM</t>
  </si>
  <si>
    <t>### WINE TAX</t>
  </si>
  <si>
    <t>### LOTTERY and ADDL SUPPORT FOR OPERATIONS</t>
  </si>
  <si>
    <t>### VOC OCCUPATIONAL PREPARATION and CAREER AND TECHNICAL ED</t>
  </si>
  <si>
    <t>### SALARY SUPPLEMENT</t>
  </si>
  <si>
    <t>### EMERGENCY IMPACT AID</t>
  </si>
  <si>
    <t>### AP/IB TEST FEES</t>
  </si>
  <si>
    <t xml:space="preserve">### FACILITIES USE PERSONNEL SERVICES/CUSTODIAL </t>
  </si>
  <si>
    <t>### FACILITIES USE- SPECIAL FEES/COMM RENTS</t>
  </si>
  <si>
    <t>## USE OF MONEY</t>
  </si>
  <si>
    <t>### INTEREST FROM DANIELS TRUST</t>
  </si>
  <si>
    <t>### INTEREST ON INVESTMENTS</t>
  </si>
  <si>
    <t>### INTEREST ON POOLED CASH</t>
  </si>
  <si>
    <t>### ENROLLMENT LOSS</t>
  </si>
  <si>
    <t>### SOL REMEDIATION</t>
  </si>
  <si>
    <t>### ESOL FEDERAL</t>
  </si>
  <si>
    <t xml:space="preserve">### ADULT LITERACY SVCS-FEDERAL </t>
  </si>
  <si>
    <t>### TJHSST</t>
  </si>
  <si>
    <t>### Additional Teachers</t>
  </si>
  <si>
    <t>### Tech. Resource Assistants</t>
  </si>
  <si>
    <t>### Maintenance Supplement</t>
  </si>
  <si>
    <t>### ABE GRANT (Adult Basic Education)</t>
  </si>
  <si>
    <t>### Class Size Reduction</t>
  </si>
  <si>
    <t>### PRESCHOOL/FECEP/Head Start</t>
  </si>
  <si>
    <t>### E-RATE REBATE (electronics)</t>
  </si>
  <si>
    <t>### IDEA (disabilities)</t>
  </si>
  <si>
    <t>TECHNICIAN</t>
  </si>
  <si>
    <t>OFFICE ASSISTANT - DEPARTMENTS</t>
  </si>
  <si>
    <t>Classification</t>
  </si>
  <si>
    <t>100</t>
  </si>
  <si>
    <t>1001</t>
  </si>
  <si>
    <t>1002</t>
  </si>
  <si>
    <t>1004</t>
  </si>
  <si>
    <t>1006</t>
  </si>
  <si>
    <t>102</t>
  </si>
  <si>
    <t>1020</t>
  </si>
  <si>
    <t>1021</t>
  </si>
  <si>
    <t>1022</t>
  </si>
  <si>
    <t>1023</t>
  </si>
  <si>
    <t>1024</t>
  </si>
  <si>
    <t>104</t>
  </si>
  <si>
    <t>1040</t>
  </si>
  <si>
    <t>1041</t>
  </si>
  <si>
    <t>1042</t>
  </si>
  <si>
    <t>1043</t>
  </si>
  <si>
    <t>1044</t>
  </si>
  <si>
    <t>1045</t>
  </si>
  <si>
    <t>1046</t>
  </si>
  <si>
    <t>106</t>
  </si>
  <si>
    <t>1060</t>
  </si>
  <si>
    <t>1061</t>
  </si>
  <si>
    <t>108</t>
  </si>
  <si>
    <t>1062</t>
  </si>
  <si>
    <t>1063</t>
  </si>
  <si>
    <t>1065</t>
  </si>
  <si>
    <t>1066</t>
  </si>
  <si>
    <t>1067</t>
  </si>
  <si>
    <t>1078</t>
  </si>
  <si>
    <t>1080</t>
  </si>
  <si>
    <t>1081</t>
  </si>
  <si>
    <t>1082</t>
  </si>
  <si>
    <t>1083</t>
  </si>
  <si>
    <t>1087</t>
  </si>
  <si>
    <t>109</t>
  </si>
  <si>
    <t>1090</t>
  </si>
  <si>
    <t>1091</t>
  </si>
  <si>
    <t>1092</t>
  </si>
  <si>
    <t>1094</t>
  </si>
  <si>
    <t>110</t>
  </si>
  <si>
    <t>1100</t>
  </si>
  <si>
    <t>1101</t>
  </si>
  <si>
    <t>1102</t>
  </si>
  <si>
    <t>1103</t>
  </si>
  <si>
    <t>1104</t>
  </si>
  <si>
    <t>1105</t>
  </si>
  <si>
    <t>1106</t>
  </si>
  <si>
    <t>1111</t>
  </si>
  <si>
    <t>1113</t>
  </si>
  <si>
    <t>1114</t>
  </si>
  <si>
    <t>1116</t>
  </si>
  <si>
    <t>1117</t>
  </si>
  <si>
    <t>1118</t>
  </si>
  <si>
    <t>1119</t>
  </si>
  <si>
    <t>1120</t>
  </si>
  <si>
    <t>1123</t>
  </si>
  <si>
    <t>1128</t>
  </si>
  <si>
    <t>1130</t>
  </si>
  <si>
    <t>1131</t>
  </si>
  <si>
    <t>1132</t>
  </si>
  <si>
    <t>1133</t>
  </si>
  <si>
    <t>1134</t>
  </si>
  <si>
    <t>1135</t>
  </si>
  <si>
    <t>1137</t>
  </si>
  <si>
    <t>114</t>
  </si>
  <si>
    <t>1140</t>
  </si>
  <si>
    <t>1141</t>
  </si>
  <si>
    <t>1142</t>
  </si>
  <si>
    <t>1143</t>
  </si>
  <si>
    <t>1144</t>
  </si>
  <si>
    <t>1145</t>
  </si>
  <si>
    <t>116</t>
  </si>
  <si>
    <t>1161</t>
  </si>
  <si>
    <t>1162</t>
  </si>
  <si>
    <t>120</t>
  </si>
  <si>
    <t>1200</t>
  </si>
  <si>
    <t>1201</t>
  </si>
  <si>
    <t>1202</t>
  </si>
  <si>
    <t>1203</t>
  </si>
  <si>
    <t>1204</t>
  </si>
  <si>
    <t>1206</t>
  </si>
  <si>
    <t>122</t>
  </si>
  <si>
    <t>1220</t>
  </si>
  <si>
    <t>1221</t>
  </si>
  <si>
    <t>124</t>
  </si>
  <si>
    <t>1240</t>
  </si>
  <si>
    <t>1241</t>
  </si>
  <si>
    <t>1242</t>
  </si>
  <si>
    <t>125</t>
  </si>
  <si>
    <t>1252</t>
  </si>
  <si>
    <t/>
  </si>
  <si>
    <t>GRA</t>
  </si>
  <si>
    <t>1109</t>
  </si>
  <si>
    <t>1110</t>
  </si>
  <si>
    <t>1112</t>
  </si>
  <si>
    <t>1146</t>
  </si>
  <si>
    <t>ADU</t>
  </si>
  <si>
    <t>CON</t>
  </si>
  <si>
    <t>INS</t>
  </si>
  <si>
    <t>HEA</t>
  </si>
  <si>
    <t>CEN</t>
  </si>
  <si>
    <t>ER-</t>
  </si>
  <si>
    <t>2011 Approved was almost identical to 2011 actual</t>
  </si>
  <si>
    <t>Pg 313 of FY 2005 approved budget</t>
  </si>
  <si>
    <t>### SUMMER PRINCIPAL/AP/SD SUPPLEMENT</t>
  </si>
  <si>
    <t>### SIGNING BONUS</t>
  </si>
  <si>
    <t>### PROJECT EXCEL BONUS</t>
  </si>
  <si>
    <t>### OTHER BONUSES</t>
  </si>
  <si>
    <t>### REIMBURSABLE SALARIES</t>
  </si>
  <si>
    <t>### GMU WORK STUDY</t>
  </si>
  <si>
    <t xml:space="preserve">### TEXTBOOK RESERVE </t>
  </si>
  <si>
    <t>### SAVINGS BOND CAMPAIGN</t>
  </si>
  <si>
    <t>Revenue Summary</t>
  </si>
  <si>
    <t>COUNTY REVENUE</t>
  </si>
  <si>
    <t>## E-RATE (electronics)</t>
  </si>
  <si>
    <t>Expenditures Summary</t>
  </si>
  <si>
    <t>Budget Summary</t>
  </si>
  <si>
    <t>avg increase</t>
  </si>
  <si>
    <t>Data for the graph</t>
  </si>
  <si>
    <t>21-yr avg</t>
  </si>
  <si>
    <t>5-yr avg</t>
  </si>
  <si>
    <t>14,15</t>
  </si>
  <si>
    <t>13,14,15</t>
  </si>
  <si>
    <t>12,13,14</t>
  </si>
  <si>
    <t>11,12,13</t>
  </si>
  <si>
    <t>13,14</t>
  </si>
  <si>
    <t>10,11,12</t>
  </si>
  <si>
    <t>12,13</t>
  </si>
  <si>
    <t>9,10,11</t>
  </si>
  <si>
    <t>Scale</t>
  </si>
  <si>
    <t>Years</t>
  </si>
  <si>
    <t>Step</t>
  </si>
  <si>
    <t>Contract</t>
  </si>
  <si>
    <t>FY2014</t>
  </si>
  <si>
    <t>FY2013</t>
  </si>
  <si>
    <t>FY2012</t>
  </si>
  <si>
    <t>FY2011</t>
  </si>
  <si>
    <t>FY2010</t>
  </si>
  <si>
    <t>FY2009</t>
  </si>
  <si>
    <t>FY2008</t>
  </si>
  <si>
    <t>FY2007</t>
  </si>
  <si>
    <t>FY2006</t>
  </si>
  <si>
    <t>FY2004</t>
  </si>
  <si>
    <t>Years = years of experience</t>
  </si>
  <si>
    <t>Masters</t>
  </si>
  <si>
    <t>from Budget pdf</t>
  </si>
  <si>
    <t>adj to 194</t>
  </si>
  <si>
    <t>Source:</t>
  </si>
  <si>
    <t>WABE</t>
  </si>
  <si>
    <t>http://www.fcps.edu/news/fy2014.shtml</t>
  </si>
  <si>
    <t>http://www.fcps.edu/fs/budget/wabe/</t>
  </si>
  <si>
    <t>Enrollment history</t>
  </si>
  <si>
    <t xml:space="preserve">Percent ESOL Enrollment </t>
  </si>
  <si>
    <t xml:space="preserve">Percent Free/Reduced Price Meal Eligible </t>
  </si>
  <si>
    <t>Salary, Masters at step 9</t>
  </si>
  <si>
    <t>Ratio: classroom teachers/all employees</t>
  </si>
  <si>
    <t>Housing units</t>
  </si>
  <si>
    <t>CPI-U</t>
  </si>
  <si>
    <t>Approved total membership</t>
  </si>
  <si>
    <t>CPI-U (annual average)</t>
  </si>
  <si>
    <t>Actual Membership  (including ESOL, Spec Ed, etc.)</t>
  </si>
  <si>
    <t xml:space="preserve">    Number of ESOL Students</t>
  </si>
  <si>
    <t xml:space="preserve">    Number of Free/Reduced-Price-Meal Students</t>
  </si>
  <si>
    <t>Ratio: students/teachers</t>
  </si>
  <si>
    <t>http://www.fcps.edu/fs/budget/documents/approved/FY14/ProgramBudgetFY2014.pdf</t>
  </si>
  <si>
    <t>The number of teachers is determined by the following (typical) computation:</t>
  </si>
  <si>
    <t>School Enrollment</t>
  </si>
  <si>
    <t>General Education</t>
  </si>
  <si>
    <t>Special Education L2</t>
  </si>
  <si>
    <t>Total Enrollment</t>
  </si>
  <si>
    <t>With 10 percent of students eligible for FRM</t>
  </si>
  <si>
    <t>Category/Grades</t>
  </si>
  <si>
    <t>Enrollment</t>
  </si>
  <si>
    <t>Teacher Positions</t>
  </si>
  <si>
    <t>Calculation</t>
  </si>
  <si>
    <t>Grades 1-6 Total Enrollment</t>
  </si>
  <si>
    <t>Grade 1-6 Teachers Rounded</t>
  </si>
  <si>
    <t>Results in 1 teacher for every 25 students</t>
  </si>
  <si>
    <t>ESOL (Level 1 &amp; 2)</t>
  </si>
  <si>
    <t>=(number of students receiving ESOL services * ESOL factor for Level 1 &amp; Level 2 / student to teacher ratio)</t>
  </si>
  <si>
    <t>ESOL Teachers Rounded</t>
  </si>
  <si>
    <t>Provides 1 teacher to provide services to the 40 students who receive ESOL services.  These services are either provided in the students’ classroom or through pull-out services</t>
  </si>
  <si>
    <t>=(number of students receiving special education services * points for a Level 2 Category A service / student to teacher ratio for Category A)</t>
  </si>
  <si>
    <t>Special Education Teachers Rounded</t>
  </si>
  <si>
    <t>In Category A, there is a threshold of 11.5 students per teacher which means 2.2 in this instance will result in 2.0 teachers.  If, the school had 24 students, and the formula result was still 2.2, it would round to 3.0 teachers.  Provides 1 teacher for every 10 students.  These services are provided through a variety of settings.</t>
  </si>
  <si>
    <t>Total Teachers</t>
  </si>
  <si>
    <t>=(enrollment / student to teacher ratio) + (number of students eligible for FRM * FRM factor / student to teacher ratio)</t>
  </si>
  <si>
    <t>Special Education (assumes all 20 students are</t>
  </si>
  <si>
    <t xml:space="preserve">   receiving a Level 2, Category A service)</t>
  </si>
  <si>
    <t>Number of teachers = (Students, including free and reduced meals + 0.5*ESOL students + 2.6*SE students/ratio of SpEd student-teacher ratio to standard student/teacher ratio )/standard student/teacher ratio</t>
  </si>
  <si>
    <t>Number of teachers = Students, including free and reduced meals*(1+0.5*% ESOL students + 2.6*% SE students/SpEd teacher ratio)/standard student/teacher ratio</t>
  </si>
  <si>
    <t>Number of teachers/student = (1+0.5*% ESOL students + 2.6*% SE students/SpEd teacher ratio)/standard student/teacher ratio</t>
  </si>
  <si>
    <t>Number of students/teacher = Standard student/teacher ratio/(1+0.5*% ESOL students + 2.6*% SE students/SpEd teacher ratio)</t>
  </si>
  <si>
    <t>Implied standard student/teacher ratio = Actual number of students/teacher * (1+0.5 * % ESOL students + 2.6 * % SE students*26.25/24)</t>
  </si>
  <si>
    <t>schools.</t>
  </si>
  <si>
    <t>Auxiliary staff</t>
  </si>
  <si>
    <t xml:space="preserve">  Librarians</t>
  </si>
  <si>
    <t xml:space="preserve">  Reading specialists</t>
  </si>
  <si>
    <t xml:space="preserve">  Counselors</t>
  </si>
  <si>
    <t xml:space="preserve">  Art teachers</t>
  </si>
  <si>
    <t xml:space="preserve">  Music teachers</t>
  </si>
  <si>
    <t xml:space="preserve">  PE teachers</t>
  </si>
  <si>
    <t>per school</t>
  </si>
  <si>
    <t>per 1000 students</t>
  </si>
  <si>
    <t>librarians, art/music/PE teachers</t>
  </si>
  <si>
    <t>reading specialists and counselors</t>
  </si>
  <si>
    <t>Subtotals</t>
  </si>
  <si>
    <t>Total non-classroom teachers</t>
  </si>
  <si>
    <t>Adjustments as applied to 2014</t>
  </si>
  <si>
    <t>Actual number of students per classroom teacher</t>
  </si>
  <si>
    <t>without this adjustment</t>
  </si>
  <si>
    <t>with this adjustment</t>
  </si>
  <si>
    <t>I have not included librarians, etc.  With the adjustment for ESOL and SpEd, the</t>
  </si>
  <si>
    <t>current ratio is 96% of the FY2000 ratio.  Without adjustment, it is 90%.  The ordinate</t>
  </si>
  <si>
    <t>Implied standard student/teacher ratio = Actual number of students/teachers * (1 + 0.5 *</t>
  </si>
  <si>
    <t>% ESOL students + 2.6 * % SE students*26.25/24)</t>
  </si>
  <si>
    <t>I didn't think the Librarians, Reading Specialists, School Counselors, and</t>
  </si>
  <si>
    <t>Art/Music/PE teachers made that much difference.  I estimated they would make a</t>
  </si>
  <si>
    <t>20% difference, in which case the top curve would be around 20.  Rounding and not</t>
  </si>
  <si>
    <t>having partial teachers for small classes would also account for some difference</t>
  </si>
  <si>
    <t>from the 26.25.  Here is my adjustment formula:</t>
  </si>
  <si>
    <t xml:space="preserve">should be comparable to the 26.25.  I am surprised that the number is so different. </t>
  </si>
  <si>
    <t>Alexandria City</t>
  </si>
  <si>
    <t>Arlington County</t>
  </si>
  <si>
    <t>Fairfax County</t>
  </si>
  <si>
    <t>Falls Church City</t>
  </si>
  <si>
    <t>Loudoun County</t>
  </si>
  <si>
    <t>Manassas City</t>
  </si>
  <si>
    <t>Manassas Park City</t>
  </si>
  <si>
    <t>Montgomery County</t>
  </si>
  <si>
    <t>Prince George's County</t>
  </si>
  <si>
    <t>Prince William County</t>
  </si>
  <si>
    <t>Based on salary shown --&gt;</t>
  </si>
  <si>
    <t>http://www.bls.gov/news.release/ecec.nr0.htm</t>
  </si>
  <si>
    <t>salary</t>
  </si>
  <si>
    <t>total</t>
  </si>
  <si>
    <t>private industry</t>
  </si>
  <si>
    <t>state and local govt</t>
  </si>
  <si>
    <t>Ratio of benefits to wages</t>
  </si>
  <si>
    <t>FCPS, all employees</t>
  </si>
  <si>
    <t>2011 and previous by total/salary ratio</t>
  </si>
  <si>
    <t>FCPS benefits increase</t>
  </si>
  <si>
    <t>no VRS payments</t>
  </si>
  <si>
    <t>make-up VRS payments</t>
  </si>
  <si>
    <t>percent of pay that is benefits</t>
  </si>
  <si>
    <t>As of Dec 1, 2013</t>
  </si>
  <si>
    <t>Average teacher salary</t>
  </si>
  <si>
    <t>Equivalent regular students</t>
  </si>
  <si>
    <t>Total budget</t>
  </si>
  <si>
    <t>Budget, inflation corrected</t>
  </si>
  <si>
    <t>Teachers/total budget</t>
  </si>
  <si>
    <t>Total wages</t>
  </si>
  <si>
    <t>Non-teacher wages</t>
  </si>
  <si>
    <t>Teacher wages</t>
  </si>
  <si>
    <t>Equivalent number of regular students = actual number of regular students + 1.5*number of ESOL students + 2.6*number of special education students</t>
  </si>
  <si>
    <t>Equivalent number of regular students = actual number of regular students + 1.5*number of ESOL students + 3.6*number of special education students</t>
  </si>
  <si>
    <t>Equivalent number of regular students = total number of students * (1 + 0.5 * % ESOL students + 2.6 * % special education students)</t>
  </si>
  <si>
    <t>Equivalent number of regular students</t>
  </si>
  <si>
    <t>Average CPI-U</t>
  </si>
  <si>
    <t>### DIVISION CHIEF</t>
  </si>
  <si>
    <t>### EXECUTIVE PRINCIPAL</t>
  </si>
  <si>
    <t>### INCURRED T/O OFFSET</t>
  </si>
  <si>
    <t>### VRS OPTIONAL RETIREMENT SUPERINTENDENT</t>
  </si>
  <si>
    <t>### AETNA MEDICAL</t>
  </si>
  <si>
    <t>### STAFF DEVELOPMENT NSB</t>
  </si>
  <si>
    <t>### MARKETING AND PROMOTIONS</t>
  </si>
  <si>
    <t>### OTHER TECHNICAL SERVICES</t>
  </si>
  <si>
    <t xml:space="preserve">### VEHICLE LEASES-INTEREST </t>
  </si>
  <si>
    <t>### INSURANCE SERVICES RM</t>
  </si>
  <si>
    <t>Division Chief</t>
  </si>
  <si>
    <t>Executive Principal</t>
  </si>
  <si>
    <t>Ratio 5/21</t>
  </si>
  <si>
    <t>FY2003 (2003$)</t>
  </si>
  <si>
    <t>FY2005 (2005$)</t>
  </si>
  <si>
    <t>FY2015 (2015$)</t>
  </si>
  <si>
    <t>Self-contained special education enrollment Or Level 2</t>
  </si>
  <si>
    <t>Salary history starting in 2003 with Masters</t>
  </si>
  <si>
    <t>total increase from 2003</t>
  </si>
  <si>
    <t>MA+9 total compensation</t>
  </si>
  <si>
    <t>Cost per student, FY2015$</t>
  </si>
  <si>
    <t>Cost per equivalent student, FY2015$</t>
  </si>
  <si>
    <t>If we use a multiplier of 1.5 for ESOL and Free/Reduced-price students and 2.6 for special-ed students, we get the equivalent of regular students</t>
  </si>
  <si>
    <t>Total expenditures, FY2015$ in millions</t>
  </si>
  <si>
    <t>Total expenditures, $ in millions</t>
  </si>
  <si>
    <t>Proposed</t>
  </si>
  <si>
    <t>proposed</t>
  </si>
  <si>
    <t>### ACTING ADMINISTRATOR</t>
  </si>
  <si>
    <t>### TCHR FECEP</t>
  </si>
  <si>
    <t>### WPFO - PERSONNEL</t>
  </si>
  <si>
    <t>### OTHER SUPPLIES</t>
  </si>
  <si>
    <t>### GAIN/LOSS ON INVENTORY ADJUSTMENT</t>
  </si>
  <si>
    <t>### GOODS RECEIPT WO PURCHASE ORDER</t>
  </si>
  <si>
    <t>### SCRAP INVENTORY EXP FCPS</t>
  </si>
  <si>
    <t>### COST OF GOODS SOLD- INVENTORY</t>
  </si>
  <si>
    <t>### TECHNOLOGY EQUIP NONCAPITALIZED</t>
  </si>
  <si>
    <t>### WPFO MATERIALS</t>
  </si>
  <si>
    <t>### WPFO F/S INDIR COST</t>
  </si>
  <si>
    <t>### CUSTODIAL CONTRACT</t>
  </si>
  <si>
    <t>### ADMINISTRATIVE EXPENSES</t>
  </si>
  <si>
    <t>## HEALTH AND FLEXIBLE BENEFITS</t>
  </si>
  <si>
    <t xml:space="preserve">### GUIDANCE/STUDENT SERVICES DIRECTOR </t>
  </si>
  <si>
    <t>## WORK PERFORMED FOR OTHERS</t>
  </si>
  <si>
    <t>### EMPLOYEE BENEFITS</t>
  </si>
  <si>
    <t>## EMPLOYEE BENEFITS PLACEHOLDERS</t>
  </si>
  <si>
    <t>### ISDN LINES (old)</t>
  </si>
  <si>
    <t>### TELEPHONE MAINTENANCE SVC</t>
  </si>
  <si>
    <t>### SANITATION CERTIFICATION REIMBURSEMENTS</t>
  </si>
  <si>
    <t>## FOOD SERVICE REFUNDS AND REIMBURSEMENTS Total</t>
  </si>
  <si>
    <t>M$/yr</t>
  </si>
  <si>
    <t>M$</t>
  </si>
  <si>
    <t>Trend start</t>
  </si>
  <si>
    <t>Trend end</t>
  </si>
  <si>
    <t>$/yr</t>
  </si>
  <si>
    <t>cost/stu</t>
  </si>
  <si>
    <t>cost/eq stu</t>
  </si>
  <si>
    <t>current$</t>
  </si>
  <si>
    <t>2015$</t>
  </si>
  <si>
    <t>Extrapolated</t>
  </si>
  <si>
    <t>Extrapolated to 2017</t>
  </si>
  <si>
    <t>Difference</t>
  </si>
  <si>
    <t>2017 proposed</t>
  </si>
  <si>
    <t>Materials and supplies, FY2015$</t>
  </si>
  <si>
    <t>actual</t>
  </si>
  <si>
    <t>Diff/Proposed</t>
  </si>
  <si>
    <t>Mean household income (2014$)</t>
  </si>
  <si>
    <t xml:space="preserve">http://factfinder.census.gov/faces/tableservices/jsf/pages/productview.xhtml?pid=ACS_14_5YR_S1901&amp;prodType=table  </t>
  </si>
  <si>
    <t>Mean household income (current-year $)</t>
  </si>
  <si>
    <t>### CABLE COMMUNICATION</t>
  </si>
  <si>
    <t>### COUNTY FUNDS/GRANTS</t>
  </si>
  <si>
    <t>### TEXTBOOKS PAYMENT</t>
  </si>
  <si>
    <t>## INCENTIVE PROGRAMS</t>
  </si>
  <si>
    <t>### GOVERNOR'S SCHOOL</t>
  </si>
  <si>
    <t>### LIMITED TERM INCENTIVE</t>
  </si>
  <si>
    <t>### ENGLISH AS A SECOND LANGUAGE</t>
  </si>
  <si>
    <t>### LIMITED TERM LOTTERY</t>
  </si>
  <si>
    <t>### EDUCATION JOBS FUND</t>
  </si>
  <si>
    <t>### TEXTBOOK LOTTERY</t>
  </si>
  <si>
    <t>### PTA/PTO DONATIONS</t>
  </si>
  <si>
    <t>http://www.fcps.edu/fs/budget/documents/proposed/FY17/FY2017ProposedBudget.pdf</t>
  </si>
  <si>
    <t>2017ProposedBudget.pdf</t>
  </si>
  <si>
    <t>Students per teacher before and after adjustment for ESOL, FRM and SpEd</t>
  </si>
  <si>
    <t>Directly from WABE reports:</t>
  </si>
  <si>
    <t>Ratio of Total compensation to salary from WABE reports</t>
  </si>
  <si>
    <t>Count</t>
  </si>
  <si>
    <t>count/2000 count</t>
  </si>
  <si>
    <t>Equiv regular students</t>
  </si>
  <si>
    <t>thousands of $</t>
  </si>
  <si>
    <t>$/$ in 2000</t>
  </si>
  <si>
    <t>Cost (2014$) per …</t>
  </si>
  <si>
    <t>Teacher wage/2000 wage</t>
  </si>
  <si>
    <t>Non-teacher wage/2000 wage</t>
  </si>
  <si>
    <t>average annual increase</t>
  </si>
  <si>
    <t>Directly from WABE reports (MA+9)</t>
  </si>
  <si>
    <t>MA+9 salary (beginning of 10th yr)</t>
  </si>
  <si>
    <t>SAT per WABE for year indicated</t>
  </si>
  <si>
    <t>2015WABE</t>
  </si>
  <si>
    <t>2014WABE</t>
  </si>
  <si>
    <t>2016WABE</t>
  </si>
  <si>
    <t>WABE Data</t>
  </si>
  <si>
    <t>WABE data (Teacher cost comparison)</t>
  </si>
  <si>
    <t>Total Employer Cost based on avg teacher salary (teacher cost comparison)</t>
  </si>
  <si>
    <t>Rank</t>
  </si>
  <si>
    <t>SAT</t>
  </si>
  <si>
    <t>Characteristics of Student Body as percents</t>
  </si>
  <si>
    <t>Characteristics of Student Body by count</t>
  </si>
  <si>
    <t>Salary for Masters at Step 9</t>
  </si>
  <si>
    <t>SAT vs salary at MA+9</t>
  </si>
  <si>
    <t>Total compensation (Employer cost) for teachers having MA+9</t>
  </si>
  <si>
    <t>FY2016 (2015$)</t>
  </si>
  <si>
    <t>FY2017 (2015$)</t>
  </si>
  <si>
    <t>Annual increase with increase in step</t>
  </si>
  <si>
    <t>avg increase since 2000</t>
  </si>
  <si>
    <t>Cost per student has increased</t>
  </si>
  <si>
    <t>per year</t>
  </si>
  <si>
    <t>Cost per equivalent student has increased</t>
  </si>
  <si>
    <t>Operating budget has increased</t>
  </si>
  <si>
    <t>per year in inflation-adjusted dollars</t>
  </si>
  <si>
    <t>Enrollment has increased</t>
  </si>
  <si>
    <t>All students</t>
  </si>
  <si>
    <t>per year adjusted for ESOL, FRM, SpEd</t>
  </si>
  <si>
    <t>Salary history for a teacher advancing one step per year</t>
  </si>
  <si>
    <t xml:space="preserve">    Percent Special-Education Enrollment </t>
  </si>
  <si>
    <t xml:space="preserve">   Hispanic</t>
  </si>
  <si>
    <t xml:space="preserve">   White (non-Hispanic)</t>
  </si>
  <si>
    <t xml:space="preserve">   Other</t>
  </si>
  <si>
    <t>Revenue minus expenditures</t>
  </si>
  <si>
    <t>Wages and benefits totally dominate</t>
  </si>
  <si>
    <t>Average</t>
  </si>
  <si>
    <t>enrollment</t>
  </si>
  <si>
    <t>(weighted avg:</t>
  </si>
  <si>
    <t>in 2016)</t>
  </si>
  <si>
    <t>Fairfax ranks 7 of 10, below the average of $95,000</t>
  </si>
  <si>
    <t>Individual teachers get average raises that are larger than in the private sector</t>
  </si>
  <si>
    <t>Rates of change</t>
  </si>
  <si>
    <t>Rate of increase from 2000 to 2009 (during housing bubble) was inexplicibly high.</t>
  </si>
  <si>
    <t>All employees (that are paid from operating budget)</t>
  </si>
  <si>
    <t>County population (ACS file B03002)</t>
  </si>
  <si>
    <t xml:space="preserve">   Black (non-Hispanic)</t>
  </si>
  <si>
    <t xml:space="preserve">   Asian (non-Hispanic)</t>
  </si>
  <si>
    <t xml:space="preserve">   Children below poverty level (all races) (ACS file B17006)</t>
  </si>
  <si>
    <t xml:space="preserve">      All</t>
  </si>
  <si>
    <t xml:space="preserve">      Ages 6 to 17 in single-parent family</t>
  </si>
  <si>
    <t xml:space="preserve">      Ages 6 to 17 all family situations</t>
  </si>
  <si>
    <t>Rapid increase from 2005 to 2010 due to immigration enforcement in Prince Willliam County</t>
  </si>
  <si>
    <t>The increase in FRM students from 2010 to 2015 does not correlate with percent of children ages 6 to 17 living below poverty line</t>
  </si>
  <si>
    <t>The increase in ESOL students from 2011 to 2013 may be a delayed effect of increase in Hispanic population from 2005 to 2010, but the increase over only two years is inexplicable</t>
  </si>
  <si>
    <t>Expenditures Summary in millions of 2015$</t>
  </si>
  <si>
    <t>Components of the Expenditures in millions of 2015$ (i.e., corrected for inflation)</t>
  </si>
  <si>
    <t xml:space="preserve">     students/teacher, adjusted for ESOL, FRM, and SpEd</t>
  </si>
  <si>
    <t>The criteria for classifying students in ESOL changed in July 2010 to the World-Class Instructional Design and Assessment system.</t>
  </si>
  <si>
    <t>Beginning in 2015, kindergarten students were included in the ESOL count.</t>
  </si>
  <si>
    <t>All teachers</t>
  </si>
  <si>
    <t xml:space="preserve">   Classroom teachers/all teachers</t>
  </si>
  <si>
    <t xml:space="preserve">   Special Ed teachers/all teachers</t>
  </si>
  <si>
    <t xml:space="preserve">     Students per classroom teacher</t>
  </si>
  <si>
    <t>Cost per equiv student (2014$)</t>
  </si>
  <si>
    <t>Students count</t>
  </si>
  <si>
    <t>approved</t>
  </si>
  <si>
    <t>updated to 2017</t>
  </si>
  <si>
    <t>Rank in 2017</t>
  </si>
  <si>
    <t>Most recent year is 2014 (from ACS)</t>
  </si>
  <si>
    <t>http://www.fcps.edu/fts/dashboard/totals/estotals15-16.html</t>
  </si>
  <si>
    <t>Elementary schools</t>
  </si>
  <si>
    <t>Number of students</t>
  </si>
  <si>
    <t>Avg class size</t>
  </si>
  <si>
    <t>Number of classrooms</t>
  </si>
  <si>
    <t>Number of grades</t>
  </si>
  <si>
    <t>Classrooms per grade</t>
  </si>
  <si>
    <t>Middle schools</t>
  </si>
  <si>
    <t>High schools</t>
  </si>
  <si>
    <t>Source</t>
  </si>
  <si>
    <t>http://www.fcps.edu/fts/dashboard/totals/mstotals15-16.html</t>
  </si>
  <si>
    <t>Number of temporary classrooms</t>
  </si>
  <si>
    <t>http://www.fcps.edu/fts/dashboard/totals/hstotals15-16.html</t>
  </si>
  <si>
    <t>Total</t>
  </si>
  <si>
    <t>Number of classroom teachers</t>
  </si>
  <si>
    <t xml:space="preserve">  excluding Special Education</t>
  </si>
  <si>
    <t>Sp Ed Students</t>
  </si>
  <si>
    <t>Sp Ed Class Size</t>
  </si>
  <si>
    <t>FECEP Students</t>
  </si>
  <si>
    <t>FECEP Class size</t>
  </si>
  <si>
    <t>Sp Ed Classrooms</t>
  </si>
  <si>
    <t>FECEP Classrooms</t>
  </si>
  <si>
    <t>Number of regular classrooms</t>
  </si>
  <si>
    <t>Avg size of regular classrooms</t>
  </si>
  <si>
    <t>Numbers in red are estimates</t>
  </si>
  <si>
    <t>Sp Ed students per grade</t>
  </si>
  <si>
    <t>Values in blue were taken from the references</t>
  </si>
  <si>
    <t>The number of classrooms is assumed to include the temporary classrooms</t>
  </si>
  <si>
    <t>FY2016</t>
  </si>
  <si>
    <t>The values in black are computed</t>
  </si>
</sst>
</file>

<file path=xl/styles.xml><?xml version="1.0" encoding="utf-8"?>
<styleSheet xmlns="http://schemas.openxmlformats.org/spreadsheetml/2006/main">
  <numFmts count="15">
    <numFmt numFmtId="6" formatCode="&quot;$&quot;#,##0_);[Red]\(&quot;$&quot;#,##0\)"/>
    <numFmt numFmtId="44" formatCode="_(&quot;$&quot;* #,##0.00_);_(&quot;$&quot;* \(#,##0.00\);_(&quot;$&quot;* &quot;-&quot;??_);_(@_)"/>
    <numFmt numFmtId="43" formatCode="_(* #,##0.00_);_(* \(#,##0.00\);_(* &quot;-&quot;??_);_(@_)"/>
    <numFmt numFmtId="164" formatCode="0.0"/>
    <numFmt numFmtId="165" formatCode="00.0"/>
    <numFmt numFmtId="166" formatCode="#,##0.0"/>
    <numFmt numFmtId="167" formatCode="000.0"/>
    <numFmt numFmtId="168" formatCode="&quot;$&quot;#,##0;&quot;$&quot;\-#,##0"/>
    <numFmt numFmtId="169" formatCode="0,000.0"/>
    <numFmt numFmtId="170" formatCode="_(* #,##0_);_(* \(#,##0\);_(* &quot;-&quot;??_);_(@_)"/>
    <numFmt numFmtId="171" formatCode="0.000"/>
    <numFmt numFmtId="172" formatCode="0.0%"/>
    <numFmt numFmtId="173" formatCode="#,##0.000"/>
    <numFmt numFmtId="174" formatCode="&quot;$&quot;#,##0.00"/>
    <numFmt numFmtId="175" formatCode="_(&quot;$&quot;* #,##0_);_(&quot;$&quot;* \(#,##0\);_(&quot;$&quot;* &quot;-&quot;??_);_(@_)"/>
  </numFmts>
  <fonts count="30">
    <font>
      <sz val="10"/>
      <name val="Arial"/>
    </font>
    <font>
      <sz val="11"/>
      <color theme="1"/>
      <name val="Calibri"/>
      <family val="2"/>
      <scheme val="minor"/>
    </font>
    <font>
      <sz val="11"/>
      <color theme="1"/>
      <name val="Calibri"/>
      <family val="2"/>
      <scheme val="minor"/>
    </font>
    <font>
      <sz val="10"/>
      <name val="Arial"/>
      <family val="2"/>
    </font>
    <font>
      <b/>
      <sz val="10"/>
      <name val="Tahoma"/>
      <family val="2"/>
    </font>
    <font>
      <b/>
      <sz val="10"/>
      <name val="Arial"/>
      <family val="2"/>
    </font>
    <font>
      <b/>
      <sz val="12"/>
      <name val="Arial"/>
      <family val="2"/>
    </font>
    <font>
      <sz val="10"/>
      <name val="Arial"/>
      <family val="2"/>
    </font>
    <font>
      <b/>
      <sz val="14"/>
      <name val="Arial"/>
      <family val="2"/>
    </font>
    <font>
      <sz val="10"/>
      <name val="Arial"/>
      <family val="2"/>
    </font>
    <font>
      <b/>
      <sz val="11"/>
      <color theme="1"/>
      <name val="Calibri"/>
      <family val="2"/>
      <scheme val="minor"/>
    </font>
    <font>
      <b/>
      <sz val="11"/>
      <name val="Arial"/>
      <family val="2"/>
    </font>
    <font>
      <u/>
      <sz val="10"/>
      <color theme="10"/>
      <name val="Arial"/>
      <family val="2"/>
    </font>
    <font>
      <sz val="10"/>
      <color rgb="FFFF0000"/>
      <name val="Arial"/>
      <family val="2"/>
    </font>
    <font>
      <sz val="11"/>
      <name val="Times New Roman"/>
      <family val="1"/>
    </font>
    <font>
      <b/>
      <sz val="11"/>
      <name val="Times New Roman"/>
      <family val="1"/>
    </font>
    <font>
      <sz val="10"/>
      <name val="Tahoma"/>
      <family val="2"/>
    </font>
    <font>
      <b/>
      <sz val="16"/>
      <color theme="1"/>
      <name val="Calibri"/>
      <family val="2"/>
      <scheme val="minor"/>
    </font>
    <font>
      <sz val="10"/>
      <color theme="4"/>
      <name val="Arial"/>
      <family val="2"/>
    </font>
    <font>
      <sz val="11"/>
      <name val="Calibri"/>
      <family val="2"/>
    </font>
    <font>
      <sz val="11"/>
      <color rgb="FF1F497D"/>
      <name val="Calibri"/>
      <family val="2"/>
    </font>
    <font>
      <sz val="10"/>
      <name val="Arial Unicode MS"/>
      <family val="2"/>
    </font>
    <font>
      <sz val="8"/>
      <name val="Calibri"/>
      <family val="2"/>
    </font>
    <font>
      <sz val="8"/>
      <name val="Calibri"/>
      <family val="2"/>
    </font>
    <font>
      <sz val="7"/>
      <name val="Tahoma"/>
      <family val="2"/>
    </font>
    <font>
      <sz val="9"/>
      <color indexed="81"/>
      <name val="Tahoma"/>
      <family val="2"/>
    </font>
    <font>
      <b/>
      <sz val="9"/>
      <color indexed="81"/>
      <name val="Tahoma"/>
      <family val="2"/>
    </font>
    <font>
      <sz val="10"/>
      <name val="Arial"/>
      <family val="2"/>
    </font>
    <font>
      <sz val="11"/>
      <color rgb="FF000000"/>
      <name val="Calibri"/>
      <family val="2"/>
    </font>
    <font>
      <sz val="9"/>
      <name val="Tahoma"/>
      <family val="2"/>
    </font>
  </fonts>
  <fills count="5">
    <fill>
      <patternFill patternType="none"/>
    </fill>
    <fill>
      <patternFill patternType="gray125"/>
    </fill>
    <fill>
      <patternFill patternType="solid">
        <fgColor rgb="FFFFFF00"/>
        <bgColor indexed="64"/>
      </patternFill>
    </fill>
    <fill>
      <patternFill patternType="solid">
        <fgColor rgb="FFDBE5F1"/>
        <bgColor indexed="64"/>
      </patternFill>
    </fill>
    <fill>
      <patternFill patternType="solid">
        <fgColor rgb="FFD6E3BC"/>
        <bgColor indexed="64"/>
      </patternFill>
    </fill>
  </fills>
  <borders count="17">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7" fillId="0" borderId="0" applyFont="0" applyFill="0" applyBorder="0" applyAlignment="0" applyProtection="0"/>
    <xf numFmtId="43" fontId="9" fillId="0" borderId="0" applyFont="0" applyFill="0" applyBorder="0" applyAlignment="0" applyProtection="0"/>
    <xf numFmtId="0" fontId="3" fillId="0" borderId="0"/>
    <xf numFmtId="0" fontId="12" fillId="0" borderId="0" applyNumberFormat="0" applyFill="0" applyBorder="0" applyAlignment="0" applyProtection="0">
      <alignment vertical="top"/>
      <protection locked="0"/>
    </xf>
    <xf numFmtId="44" fontId="27" fillId="0" borderId="0" applyFont="0" applyFill="0" applyBorder="0" applyAlignment="0" applyProtection="0"/>
    <xf numFmtId="0" fontId="28" fillId="0" borderId="0"/>
  </cellStyleXfs>
  <cellXfs count="182">
    <xf numFmtId="0" fontId="0" fillId="0" borderId="0" xfId="0"/>
    <xf numFmtId="0" fontId="5" fillId="0" borderId="0" xfId="0" applyFont="1" applyAlignment="1">
      <alignment horizontal="left" vertical="center" indent="5"/>
    </xf>
    <xf numFmtId="0" fontId="4" fillId="0" borderId="0" xfId="0" applyFont="1" applyFill="1" applyAlignment="1">
      <alignment horizontal="center" vertical="top" wrapText="1"/>
    </xf>
    <xf numFmtId="0" fontId="7" fillId="0" borderId="0" xfId="0" applyFont="1" applyAlignment="1">
      <alignment vertical="center" wrapText="1"/>
    </xf>
    <xf numFmtId="168" fontId="4" fillId="0" borderId="0" xfId="0" applyNumberFormat="1" applyFont="1" applyFill="1" applyAlignment="1">
      <alignment horizontal="right" vertical="center"/>
    </xf>
    <xf numFmtId="0" fontId="7" fillId="0" borderId="0" xfId="0" applyFont="1" applyAlignment="1">
      <alignment vertical="center"/>
    </xf>
    <xf numFmtId="0" fontId="7" fillId="0" borderId="0" xfId="0" applyFont="1"/>
    <xf numFmtId="164" fontId="7" fillId="0" borderId="0" xfId="0" applyNumberFormat="1" applyFont="1" applyFill="1" applyAlignment="1">
      <alignment horizontal="right" vertical="center"/>
    </xf>
    <xf numFmtId="165" fontId="7" fillId="0" borderId="0" xfId="0" applyNumberFormat="1" applyFont="1" applyFill="1" applyAlignment="1">
      <alignment horizontal="right" vertical="center"/>
    </xf>
    <xf numFmtId="164" fontId="7" fillId="0" borderId="2" xfId="0" applyNumberFormat="1" applyFont="1" applyFill="1" applyBorder="1" applyAlignment="1">
      <alignment horizontal="right" vertical="center"/>
    </xf>
    <xf numFmtId="167" fontId="7" fillId="0" borderId="0" xfId="0" applyNumberFormat="1" applyFont="1" applyFill="1" applyAlignment="1">
      <alignment horizontal="right" vertical="center"/>
    </xf>
    <xf numFmtId="165" fontId="7" fillId="0" borderId="2" xfId="0" applyNumberFormat="1" applyFont="1" applyFill="1" applyBorder="1" applyAlignment="1">
      <alignment horizontal="right" vertical="center"/>
    </xf>
    <xf numFmtId="164" fontId="7" fillId="0" borderId="0" xfId="0" applyNumberFormat="1" applyFont="1" applyFill="1" applyAlignment="1">
      <alignment horizontal="right" vertical="top"/>
    </xf>
    <xf numFmtId="167" fontId="7" fillId="0" borderId="2" xfId="0" applyNumberFormat="1" applyFont="1" applyFill="1" applyBorder="1" applyAlignment="1">
      <alignment horizontal="right" vertical="center"/>
    </xf>
    <xf numFmtId="166" fontId="7" fillId="0" borderId="0" xfId="0" applyNumberFormat="1" applyFont="1" applyFill="1" applyAlignment="1">
      <alignment horizontal="right" vertical="center"/>
    </xf>
    <xf numFmtId="169" fontId="7" fillId="0" borderId="0" xfId="0" applyNumberFormat="1" applyFont="1" applyFill="1" applyAlignment="1">
      <alignment horizontal="right" vertical="center"/>
    </xf>
    <xf numFmtId="167" fontId="7" fillId="0" borderId="0" xfId="0" applyNumberFormat="1" applyFont="1" applyFill="1" applyAlignment="1">
      <alignment horizontal="right" vertical="top"/>
    </xf>
    <xf numFmtId="168" fontId="7" fillId="0" borderId="0" xfId="0" applyNumberFormat="1" applyFont="1" applyAlignment="1">
      <alignment vertical="center"/>
    </xf>
    <xf numFmtId="0" fontId="6" fillId="0" borderId="0" xfId="0" applyFont="1" applyAlignment="1">
      <alignment vertical="center"/>
    </xf>
    <xf numFmtId="9" fontId="7" fillId="0" borderId="0" xfId="1"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xf numFmtId="0" fontId="3" fillId="0" borderId="0" xfId="0" applyFont="1"/>
    <xf numFmtId="0" fontId="6" fillId="0" borderId="0" xfId="0" applyFont="1"/>
    <xf numFmtId="0" fontId="8" fillId="0" borderId="0" xfId="0" applyFont="1"/>
    <xf numFmtId="0" fontId="5" fillId="0" borderId="0" xfId="0" applyFont="1" applyAlignment="1">
      <alignment vertical="center" wrapText="1"/>
    </xf>
    <xf numFmtId="0" fontId="3" fillId="0" borderId="0" xfId="0" applyFont="1" applyFill="1" applyAlignment="1">
      <alignment horizontal="left" vertical="top"/>
    </xf>
    <xf numFmtId="170" fontId="0" fillId="0" borderId="0" xfId="2" applyNumberFormat="1" applyFont="1"/>
    <xf numFmtId="0" fontId="11" fillId="0" borderId="0" xfId="0" applyFont="1" applyAlignment="1">
      <alignment horizontal="center" vertical="center"/>
    </xf>
    <xf numFmtId="0" fontId="10" fillId="0" borderId="0" xfId="0" applyFont="1"/>
    <xf numFmtId="168" fontId="3" fillId="0" borderId="0" xfId="0" applyNumberFormat="1" applyFont="1" applyAlignment="1">
      <alignment horizontal="right" vertical="center"/>
    </xf>
    <xf numFmtId="0" fontId="0" fillId="2" borderId="0" xfId="0" applyFill="1"/>
    <xf numFmtId="170" fontId="0" fillId="2" borderId="0" xfId="2" applyNumberFormat="1" applyFont="1" applyFill="1"/>
    <xf numFmtId="170" fontId="3" fillId="2" borderId="0" xfId="2" applyNumberFormat="1" applyFont="1" applyFill="1"/>
    <xf numFmtId="170" fontId="5" fillId="0" borderId="0" xfId="0" applyNumberFormat="1" applyFont="1"/>
    <xf numFmtId="0" fontId="5" fillId="2" borderId="0" xfId="0" applyFont="1" applyFill="1"/>
    <xf numFmtId="9" fontId="0" fillId="0" borderId="0" xfId="1" applyFont="1"/>
    <xf numFmtId="0" fontId="0" fillId="0" borderId="0" xfId="0" applyAlignment="1"/>
    <xf numFmtId="168" fontId="0" fillId="0" borderId="0" xfId="0" applyNumberFormat="1"/>
    <xf numFmtId="168" fontId="3" fillId="0" borderId="0" xfId="0" applyNumberFormat="1" applyFont="1"/>
    <xf numFmtId="168" fontId="5" fillId="0" borderId="0" xfId="0" applyNumberFormat="1" applyFont="1"/>
    <xf numFmtId="3" fontId="0" fillId="0" borderId="0" xfId="0" applyNumberFormat="1"/>
    <xf numFmtId="0" fontId="12" fillId="0" borderId="0" xfId="4" applyAlignment="1" applyProtection="1"/>
    <xf numFmtId="1" fontId="0" fillId="0" borderId="0" xfId="0" applyNumberFormat="1"/>
    <xf numFmtId="10" fontId="0" fillId="0" borderId="0" xfId="1" applyNumberFormat="1" applyFont="1"/>
    <xf numFmtId="170" fontId="0" fillId="0" borderId="0" xfId="0" applyNumberFormat="1"/>
    <xf numFmtId="172" fontId="0" fillId="0" borderId="0" xfId="1" applyNumberFormat="1" applyFont="1"/>
    <xf numFmtId="0" fontId="5" fillId="0" borderId="0" xfId="0" applyFont="1" applyAlignment="1">
      <alignment horizontal="right" vertical="center"/>
    </xf>
    <xf numFmtId="0" fontId="5" fillId="0" borderId="0" xfId="0" applyFont="1" applyAlignment="1">
      <alignment vertical="center"/>
    </xf>
    <xf numFmtId="164" fontId="7" fillId="0" borderId="0" xfId="0" applyNumberFormat="1" applyFont="1" applyFill="1" applyBorder="1" applyAlignment="1">
      <alignment horizontal="right" vertical="center"/>
    </xf>
    <xf numFmtId="3" fontId="3" fillId="0" borderId="0" xfId="0" applyNumberFormat="1" applyFont="1"/>
    <xf numFmtId="170" fontId="5" fillId="0" borderId="0" xfId="2" applyNumberFormat="1" applyFont="1"/>
    <xf numFmtId="170" fontId="3" fillId="0" borderId="0" xfId="2" applyNumberFormat="1" applyFont="1"/>
    <xf numFmtId="0" fontId="0" fillId="0" borderId="0" xfId="0" applyAlignment="1">
      <alignment horizontal="center"/>
    </xf>
    <xf numFmtId="170" fontId="0" fillId="0" borderId="0" xfId="2" applyNumberFormat="1" applyFont="1" applyAlignment="1">
      <alignment horizontal="center"/>
    </xf>
    <xf numFmtId="170" fontId="3" fillId="0" borderId="0" xfId="0" applyNumberFormat="1" applyFont="1"/>
    <xf numFmtId="170" fontId="13" fillId="0" borderId="0" xfId="0" applyNumberFormat="1" applyFont="1"/>
    <xf numFmtId="3" fontId="13" fillId="0" borderId="0" xfId="0" applyNumberFormat="1" applyFont="1"/>
    <xf numFmtId="168" fontId="14" fillId="0" borderId="0" xfId="0" applyNumberFormat="1" applyFont="1" applyFill="1" applyAlignment="1">
      <alignment horizontal="right" vertical="center" indent="1"/>
    </xf>
    <xf numFmtId="3" fontId="14" fillId="0" borderId="0" xfId="0" applyNumberFormat="1" applyFont="1" applyFill="1" applyAlignment="1">
      <alignment horizontal="right" vertical="center" indent="1"/>
    </xf>
    <xf numFmtId="3" fontId="15" fillId="0" borderId="0" xfId="0" applyNumberFormat="1" applyFont="1" applyFill="1" applyAlignment="1">
      <alignment horizontal="right" vertical="center" indent="1"/>
    </xf>
    <xf numFmtId="0" fontId="5" fillId="0" borderId="1" xfId="0" applyFont="1" applyBorder="1"/>
    <xf numFmtId="3" fontId="5" fillId="0" borderId="0" xfId="0" applyNumberFormat="1" applyFont="1" applyFill="1" applyAlignment="1">
      <alignment horizontal="right" vertical="center"/>
    </xf>
    <xf numFmtId="0" fontId="5" fillId="0" borderId="1" xfId="0" applyFont="1" applyBorder="1" applyAlignment="1">
      <alignment vertical="center"/>
    </xf>
    <xf numFmtId="0" fontId="5" fillId="0" borderId="4" xfId="0" applyFont="1" applyBorder="1"/>
    <xf numFmtId="168" fontId="16" fillId="0" borderId="0" xfId="0" applyNumberFormat="1" applyFont="1" applyFill="1" applyAlignment="1">
      <alignment horizontal="right" vertical="center"/>
    </xf>
    <xf numFmtId="168" fontId="16" fillId="0" borderId="0" xfId="0" applyNumberFormat="1" applyFont="1" applyFill="1" applyAlignment="1">
      <alignment horizontal="left" vertical="center"/>
    </xf>
    <xf numFmtId="1" fontId="16" fillId="0" borderId="0" xfId="0" applyNumberFormat="1" applyFont="1" applyFill="1" applyAlignment="1">
      <alignment horizontal="right" vertical="center"/>
    </xf>
    <xf numFmtId="168" fontId="4" fillId="0" borderId="0" xfId="0" applyNumberFormat="1" applyFont="1" applyFill="1" applyAlignment="1">
      <alignment horizontal="left" vertical="center"/>
    </xf>
    <xf numFmtId="171" fontId="0" fillId="0" borderId="0" xfId="0" applyNumberFormat="1"/>
    <xf numFmtId="2" fontId="0" fillId="0" borderId="0" xfId="0" applyNumberFormat="1"/>
    <xf numFmtId="164" fontId="0" fillId="0" borderId="0" xfId="0" applyNumberFormat="1"/>
    <xf numFmtId="0" fontId="0" fillId="0" borderId="0" xfId="0" applyAlignment="1">
      <alignment horizontal="right"/>
    </xf>
    <xf numFmtId="172" fontId="2" fillId="0" borderId="0" xfId="1" applyNumberFormat="1" applyFont="1"/>
    <xf numFmtId="6" fontId="0" fillId="0" borderId="0" xfId="0" applyNumberFormat="1"/>
    <xf numFmtId="6" fontId="0" fillId="0" borderId="0" xfId="0" applyNumberFormat="1" applyAlignment="1">
      <alignment horizontal="right"/>
    </xf>
    <xf numFmtId="6" fontId="10" fillId="0" borderId="0" xfId="0" applyNumberFormat="1" applyFont="1"/>
    <xf numFmtId="6" fontId="0" fillId="0" borderId="1" xfId="0" applyNumberFormat="1" applyBorder="1"/>
    <xf numFmtId="0" fontId="0" fillId="0" borderId="1" xfId="0" applyBorder="1"/>
    <xf numFmtId="0" fontId="17" fillId="0" borderId="0" xfId="0" applyFont="1"/>
    <xf numFmtId="0" fontId="12" fillId="0" borderId="0" xfId="4" applyAlignment="1" applyProtection="1">
      <alignment vertical="center"/>
    </xf>
    <xf numFmtId="0" fontId="12" fillId="0" borderId="0" xfId="4" applyFill="1" applyAlignment="1" applyProtection="1">
      <alignment horizontal="left" vertical="top"/>
    </xf>
    <xf numFmtId="1" fontId="4" fillId="0" borderId="0" xfId="0" applyNumberFormat="1" applyFont="1" applyFill="1" applyAlignment="1">
      <alignment horizontal="center" vertical="center"/>
    </xf>
    <xf numFmtId="10" fontId="0" fillId="0" borderId="0" xfId="0" applyNumberFormat="1"/>
    <xf numFmtId="4" fontId="0" fillId="0" borderId="0" xfId="0" applyNumberFormat="1"/>
    <xf numFmtId="1" fontId="0" fillId="0" borderId="0" xfId="2" applyNumberFormat="1" applyFont="1"/>
    <xf numFmtId="1" fontId="3" fillId="0" borderId="0" xfId="2" applyNumberFormat="1" applyFont="1"/>
    <xf numFmtId="0" fontId="0" fillId="0" borderId="0" xfId="2" applyNumberFormat="1" applyFont="1"/>
    <xf numFmtId="3" fontId="18" fillId="0" borderId="0" xfId="0" applyNumberFormat="1" applyFont="1"/>
    <xf numFmtId="0" fontId="0" fillId="0" borderId="7" xfId="0" applyBorder="1"/>
    <xf numFmtId="0" fontId="19" fillId="0" borderId="10" xfId="0" applyFont="1" applyBorder="1" applyAlignment="1">
      <alignment horizontal="right" vertical="top" wrapText="1"/>
    </xf>
    <xf numFmtId="0" fontId="0" fillId="0" borderId="10" xfId="0" applyBorder="1"/>
    <xf numFmtId="0" fontId="19" fillId="3" borderId="10" xfId="0" applyFont="1" applyFill="1" applyBorder="1" applyAlignment="1">
      <alignment horizontal="center" wrapText="1"/>
    </xf>
    <xf numFmtId="0" fontId="19" fillId="0" borderId="12" xfId="0" applyFont="1" applyBorder="1" applyAlignment="1">
      <alignment vertical="top" wrapText="1"/>
    </xf>
    <xf numFmtId="0" fontId="19" fillId="4" borderId="10" xfId="0" applyFont="1" applyFill="1" applyBorder="1" applyAlignment="1">
      <alignment horizontal="right" vertical="top" wrapText="1"/>
    </xf>
    <xf numFmtId="0" fontId="19" fillId="3" borderId="10" xfId="0" applyFont="1" applyFill="1" applyBorder="1" applyAlignment="1">
      <alignment horizontal="right" vertical="top" wrapText="1"/>
    </xf>
    <xf numFmtId="0" fontId="19" fillId="3" borderId="10" xfId="0" applyFont="1" applyFill="1" applyBorder="1" applyAlignment="1">
      <alignment vertical="top" wrapText="1"/>
    </xf>
    <xf numFmtId="0" fontId="19" fillId="0" borderId="6" xfId="0" applyFont="1" applyBorder="1" applyAlignment="1">
      <alignment vertical="top"/>
    </xf>
    <xf numFmtId="0" fontId="19" fillId="0" borderId="8" xfId="0" applyFont="1" applyBorder="1" applyAlignment="1">
      <alignment vertical="top"/>
    </xf>
    <xf numFmtId="0" fontId="19" fillId="0" borderId="10" xfId="0" quotePrefix="1" applyFont="1" applyBorder="1" applyAlignment="1">
      <alignment vertical="top"/>
    </xf>
    <xf numFmtId="0" fontId="19" fillId="4" borderId="10" xfId="0" applyFont="1" applyFill="1" applyBorder="1" applyAlignment="1">
      <alignment vertical="top"/>
    </xf>
    <xf numFmtId="0" fontId="19" fillId="0" borderId="10" xfId="0" applyFont="1" applyBorder="1" applyAlignment="1">
      <alignment vertical="top"/>
    </xf>
    <xf numFmtId="0" fontId="19" fillId="0" borderId="9" xfId="0" applyFont="1" applyBorder="1" applyAlignment="1">
      <alignment vertical="top"/>
    </xf>
    <xf numFmtId="0" fontId="19" fillId="0" borderId="13" xfId="0" applyFont="1" applyBorder="1" applyAlignment="1">
      <alignment vertical="top"/>
    </xf>
    <xf numFmtId="0" fontId="19" fillId="3" borderId="9" xfId="0" applyFont="1" applyFill="1" applyBorder="1" applyAlignment="1">
      <alignment horizontal="left"/>
    </xf>
    <xf numFmtId="0" fontId="19" fillId="4" borderId="9" xfId="0" applyFont="1" applyFill="1" applyBorder="1" applyAlignment="1">
      <alignment vertical="top"/>
    </xf>
    <xf numFmtId="0" fontId="0" fillId="0" borderId="3" xfId="0" applyBorder="1"/>
    <xf numFmtId="0" fontId="19" fillId="3" borderId="10" xfId="0" applyFont="1" applyFill="1" applyBorder="1" applyAlignment="1">
      <alignment horizontal="left" vertical="top"/>
    </xf>
    <xf numFmtId="0" fontId="19" fillId="0" borderId="11" xfId="0" applyFont="1" applyBorder="1" applyAlignment="1">
      <alignment vertical="top"/>
    </xf>
    <xf numFmtId="0" fontId="19" fillId="4" borderId="5" xfId="0" applyFont="1" applyFill="1" applyBorder="1" applyAlignment="1">
      <alignment vertical="top"/>
    </xf>
    <xf numFmtId="173" fontId="0" fillId="0" borderId="0" xfId="0" applyNumberFormat="1"/>
    <xf numFmtId="0" fontId="20" fillId="0" borderId="0" xfId="0" applyFont="1"/>
    <xf numFmtId="1" fontId="5" fillId="0" borderId="0" xfId="0" applyNumberFormat="1" applyFont="1"/>
    <xf numFmtId="0" fontId="21" fillId="0" borderId="0" xfId="0" applyFont="1"/>
    <xf numFmtId="0" fontId="3" fillId="0" borderId="0" xfId="0" applyFont="1" applyAlignment="1">
      <alignment horizontal="right"/>
    </xf>
    <xf numFmtId="0" fontId="0" fillId="0" borderId="15" xfId="0" applyBorder="1"/>
    <xf numFmtId="0" fontId="0" fillId="0" borderId="4" xfId="0" applyBorder="1"/>
    <xf numFmtId="0" fontId="0" fillId="0" borderId="16" xfId="0" applyBorder="1"/>
    <xf numFmtId="0" fontId="3" fillId="0" borderId="15" xfId="0" applyFont="1" applyBorder="1"/>
    <xf numFmtId="0" fontId="3" fillId="0" borderId="0" xfId="0" applyFont="1" applyFill="1" applyBorder="1"/>
    <xf numFmtId="0" fontId="5" fillId="0" borderId="0" xfId="0" applyFont="1" applyFill="1" applyBorder="1"/>
    <xf numFmtId="3" fontId="0" fillId="0" borderId="0" xfId="1" applyNumberFormat="1" applyFont="1"/>
    <xf numFmtId="174" fontId="0" fillId="0" borderId="0" xfId="0" applyNumberFormat="1"/>
    <xf numFmtId="0" fontId="0" fillId="0" borderId="0" xfId="0" applyAlignment="1">
      <alignment horizontal="center"/>
    </xf>
    <xf numFmtId="164" fontId="3" fillId="0" borderId="0" xfId="0" applyNumberFormat="1" applyFont="1"/>
    <xf numFmtId="0" fontId="1" fillId="0" borderId="0" xfId="0" applyFont="1"/>
    <xf numFmtId="164" fontId="22" fillId="0" borderId="0" xfId="0" applyNumberFormat="1" applyFont="1" applyAlignment="1">
      <alignment horizontal="right" vertical="center" wrapText="1"/>
    </xf>
    <xf numFmtId="167" fontId="23" fillId="0" borderId="0" xfId="0" applyNumberFormat="1" applyFont="1" applyAlignment="1">
      <alignment horizontal="right" vertical="center" wrapText="1"/>
    </xf>
    <xf numFmtId="165" fontId="23" fillId="0" borderId="0" xfId="0" applyNumberFormat="1" applyFont="1" applyAlignment="1">
      <alignment horizontal="right" vertical="center" wrapText="1"/>
    </xf>
    <xf numFmtId="164" fontId="23" fillId="0" borderId="0" xfId="0" applyNumberFormat="1" applyFont="1" applyAlignment="1">
      <alignment horizontal="right" vertical="center" wrapText="1"/>
    </xf>
    <xf numFmtId="0" fontId="5" fillId="0" borderId="0" xfId="0" applyFont="1" applyBorder="1"/>
    <xf numFmtId="169" fontId="23" fillId="0" borderId="0" xfId="0" applyNumberFormat="1" applyFont="1" applyAlignment="1">
      <alignment horizontal="right" vertical="center" wrapText="1"/>
    </xf>
    <xf numFmtId="166" fontId="23" fillId="0" borderId="0" xfId="0" applyNumberFormat="1" applyFont="1" applyAlignment="1">
      <alignment horizontal="right" vertical="center" wrapText="1"/>
    </xf>
    <xf numFmtId="167" fontId="23" fillId="0" borderId="0" xfId="0" applyNumberFormat="1" applyFont="1" applyAlignment="1">
      <alignment horizontal="right" wrapText="1"/>
    </xf>
    <xf numFmtId="164" fontId="23" fillId="0" borderId="0" xfId="0" applyNumberFormat="1" applyFont="1" applyAlignment="1">
      <alignment horizontal="right" wrapText="1"/>
    </xf>
    <xf numFmtId="166" fontId="23" fillId="0" borderId="0" xfId="0" applyNumberFormat="1" applyFont="1" applyAlignment="1">
      <alignment horizontal="right" wrapText="1"/>
    </xf>
    <xf numFmtId="169" fontId="23" fillId="0" borderId="0" xfId="0" applyNumberFormat="1" applyFont="1" applyAlignment="1">
      <alignment horizontal="right" wrapText="1"/>
    </xf>
    <xf numFmtId="165" fontId="23" fillId="0" borderId="0" xfId="0" applyNumberFormat="1" applyFont="1" applyAlignment="1">
      <alignment horizontal="right" wrapText="1"/>
    </xf>
    <xf numFmtId="164" fontId="24" fillId="0" borderId="0" xfId="0" applyNumberFormat="1" applyFont="1" applyAlignment="1">
      <alignment horizontal="right" vertical="center" wrapText="1"/>
    </xf>
    <xf numFmtId="165" fontId="24" fillId="0" borderId="0" xfId="0" applyNumberFormat="1" applyFont="1" applyAlignment="1">
      <alignment horizontal="right" vertical="center" wrapText="1"/>
    </xf>
    <xf numFmtId="167" fontId="24" fillId="0" borderId="0" xfId="0" applyNumberFormat="1" applyFont="1" applyAlignment="1">
      <alignment horizontal="right" vertical="center" wrapText="1"/>
    </xf>
    <xf numFmtId="43" fontId="0" fillId="0" borderId="0" xfId="2" applyFont="1"/>
    <xf numFmtId="175" fontId="0" fillId="0" borderId="0" xfId="5" applyNumberFormat="1" applyFont="1"/>
    <xf numFmtId="0" fontId="13" fillId="0" borderId="0" xfId="0" applyFont="1"/>
    <xf numFmtId="0" fontId="5" fillId="0" borderId="0" xfId="0" applyFont="1" applyFill="1" applyAlignment="1">
      <alignment horizontal="center" vertical="top"/>
    </xf>
    <xf numFmtId="170" fontId="13" fillId="0" borderId="0" xfId="2" applyNumberFormat="1" applyFont="1"/>
    <xf numFmtId="172" fontId="7" fillId="0" borderId="0" xfId="1" applyNumberFormat="1" applyFont="1" applyAlignment="1">
      <alignment vertical="center"/>
    </xf>
    <xf numFmtId="168" fontId="7" fillId="0" borderId="0" xfId="1" applyNumberFormat="1" applyFont="1" applyAlignment="1">
      <alignment vertical="center"/>
    </xf>
    <xf numFmtId="3" fontId="0" fillId="0" borderId="0" xfId="2" applyNumberFormat="1" applyFont="1"/>
    <xf numFmtId="3" fontId="3" fillId="0" borderId="0" xfId="2" applyNumberFormat="1" applyFont="1"/>
    <xf numFmtId="3" fontId="3" fillId="0" borderId="0" xfId="0" applyNumberFormat="1" applyFont="1" applyAlignment="1">
      <alignment vertical="center"/>
    </xf>
    <xf numFmtId="0" fontId="0" fillId="0" borderId="0" xfId="0" applyBorder="1"/>
    <xf numFmtId="0" fontId="3" fillId="0" borderId="0" xfId="0" applyFont="1" applyAlignment="1">
      <alignment horizontal="left"/>
    </xf>
    <xf numFmtId="172" fontId="0" fillId="0" borderId="0" xfId="0" applyNumberFormat="1"/>
    <xf numFmtId="164" fontId="29" fillId="0" borderId="0" xfId="6" applyNumberFormat="1" applyFont="1" applyAlignment="1">
      <alignment horizontal="right" vertical="center" wrapText="1"/>
    </xf>
    <xf numFmtId="165" fontId="29" fillId="0" borderId="0" xfId="6" applyNumberFormat="1" applyFont="1" applyAlignment="1">
      <alignment horizontal="right" vertical="center" wrapText="1"/>
    </xf>
    <xf numFmtId="167" fontId="29" fillId="0" borderId="0" xfId="6" applyNumberFormat="1" applyFont="1" applyAlignment="1">
      <alignment horizontal="right" vertical="center" wrapText="1"/>
    </xf>
    <xf numFmtId="166" fontId="29" fillId="0" borderId="0" xfId="6" applyNumberFormat="1" applyFont="1" applyAlignment="1">
      <alignment horizontal="right" vertical="center" wrapText="1"/>
    </xf>
    <xf numFmtId="169" fontId="29" fillId="0" borderId="0" xfId="6" applyNumberFormat="1" applyFont="1" applyAlignment="1">
      <alignment horizontal="right" vertical="center" wrapText="1"/>
    </xf>
    <xf numFmtId="0" fontId="3" fillId="0" borderId="1" xfId="0" applyFont="1" applyFill="1" applyBorder="1"/>
    <xf numFmtId="170" fontId="0" fillId="0" borderId="1" xfId="2" applyNumberFormat="1" applyFont="1" applyBorder="1"/>
    <xf numFmtId="172" fontId="0" fillId="0" borderId="0" xfId="2" applyNumberFormat="1" applyFont="1"/>
    <xf numFmtId="3" fontId="7" fillId="0" borderId="0" xfId="0" applyNumberFormat="1" applyFont="1" applyAlignment="1">
      <alignment vertical="center"/>
    </xf>
    <xf numFmtId="0" fontId="3" fillId="0" borderId="1"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19" fillId="3" borderId="14" xfId="0" applyFont="1" applyFill="1" applyBorder="1" applyAlignment="1">
      <alignment horizontal="center" vertical="top"/>
    </xf>
    <xf numFmtId="0" fontId="19" fillId="3" borderId="3" xfId="0" applyFont="1" applyFill="1" applyBorder="1" applyAlignment="1">
      <alignment horizontal="center" vertical="top"/>
    </xf>
    <xf numFmtId="0" fontId="19" fillId="0" borderId="13" xfId="0" applyFont="1" applyBorder="1" applyAlignment="1">
      <alignment horizontal="right" vertical="top" wrapText="1"/>
    </xf>
    <xf numFmtId="0" fontId="19" fillId="0" borderId="9" xfId="0" applyFont="1" applyBorder="1" applyAlignment="1">
      <alignment horizontal="right" vertical="top" wrapText="1"/>
    </xf>
    <xf numFmtId="0" fontId="19" fillId="0" borderId="14" xfId="0" applyFont="1" applyBorder="1" applyAlignment="1">
      <alignment vertical="top" wrapText="1"/>
    </xf>
    <xf numFmtId="0" fontId="19" fillId="0" borderId="10" xfId="0" applyFont="1" applyBorder="1" applyAlignment="1">
      <alignment vertical="top" wrapText="1"/>
    </xf>
    <xf numFmtId="0" fontId="19" fillId="0" borderId="6" xfId="0" applyFont="1" applyBorder="1" applyAlignment="1">
      <alignment vertical="top" wrapText="1"/>
    </xf>
    <xf numFmtId="0" fontId="19" fillId="0" borderId="8" xfId="0" applyFont="1" applyBorder="1" applyAlignment="1">
      <alignment vertical="top" wrapText="1"/>
    </xf>
    <xf numFmtId="0" fontId="3" fillId="0" borderId="0" xfId="0" applyFont="1" applyAlignment="1">
      <alignment horizontal="center" wrapText="1"/>
    </xf>
    <xf numFmtId="1" fontId="13" fillId="0" borderId="0" xfId="0" applyNumberFormat="1" applyFont="1"/>
    <xf numFmtId="0" fontId="18" fillId="0" borderId="0" xfId="0" applyFont="1"/>
    <xf numFmtId="1" fontId="18" fillId="0" borderId="0" xfId="0" applyNumberFormat="1" applyFont="1"/>
    <xf numFmtId="0" fontId="3" fillId="0" borderId="1" xfId="0" applyFont="1" applyBorder="1"/>
    <xf numFmtId="1" fontId="0" fillId="0" borderId="1" xfId="0" applyNumberFormat="1" applyBorder="1"/>
  </cellXfs>
  <cellStyles count="7">
    <cellStyle name="Comma" xfId="2" builtinId="3"/>
    <cellStyle name="Currency" xfId="5" builtinId="4"/>
    <cellStyle name="Hyperlink" xfId="4" builtinId="8"/>
    <cellStyle name="Normal" xfId="0" builtinId="0"/>
    <cellStyle name="Normal 2" xfId="3"/>
    <cellStyle name="Normal 3" xfId="6"/>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'Derived data'!$A$16</c:f>
              <c:strCache>
                <c:ptCount val="1"/>
                <c:pt idx="0">
                  <c:v>Equivalent number of regular students</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data'!$B$16:$T$16</c:f>
              <c:numCache>
                <c:formatCode>_(* #,##0_);_(* \(#,##0\);_(* "-"??_);_(@_)</c:formatCode>
                <c:ptCount val="19"/>
                <c:pt idx="1">
                  <c:v>238955.9833763823</c:v>
                </c:pt>
                <c:pt idx="2">
                  <c:v>240658.7</c:v>
                </c:pt>
                <c:pt idx="3">
                  <c:v>238297.9</c:v>
                </c:pt>
                <c:pt idx="4">
                  <c:v>234077</c:v>
                </c:pt>
                <c:pt idx="5">
                  <c:v>230685.90350000001</c:v>
                </c:pt>
                <c:pt idx="6">
                  <c:v>225180.16300000003</c:v>
                </c:pt>
                <c:pt idx="7">
                  <c:v>218960.5785</c:v>
                </c:pt>
                <c:pt idx="8">
                  <c:v>214702.64650000003</c:v>
                </c:pt>
                <c:pt idx="9">
                  <c:v>211066.81799999997</c:v>
                </c:pt>
                <c:pt idx="10">
                  <c:v>206983.10850000003</c:v>
                </c:pt>
                <c:pt idx="11">
                  <c:v>204813.34699999998</c:v>
                </c:pt>
                <c:pt idx="12">
                  <c:v>203109.57600000003</c:v>
                </c:pt>
                <c:pt idx="13">
                  <c:v>202441.70799999998</c:v>
                </c:pt>
                <c:pt idx="14">
                  <c:v>201443.29499999998</c:v>
                </c:pt>
                <c:pt idx="15">
                  <c:v>199502.66699999999</c:v>
                </c:pt>
                <c:pt idx="16">
                  <c:v>194581.57500000001</c:v>
                </c:pt>
                <c:pt idx="17">
                  <c:v>189530.81899999999</c:v>
                </c:pt>
                <c:pt idx="18">
                  <c:v>184301.55050000001</c:v>
                </c:pt>
              </c:numCache>
            </c:numRef>
          </c:yVal>
        </c:ser>
        <c:ser>
          <c:idx val="1"/>
          <c:order val="1"/>
          <c:tx>
            <c:strRef>
              <c:f>'Derived data'!$A$8</c:f>
              <c:strCache>
                <c:ptCount val="1"/>
                <c:pt idx="0">
                  <c:v>Actual Membership  (including ESOL, Spec Ed, etc.)</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data'!$B$8:$T$8</c:f>
              <c:numCache>
                <c:formatCode>#,##0</c:formatCode>
                <c:ptCount val="19"/>
                <c:pt idx="1">
                  <c:v>187211</c:v>
                </c:pt>
                <c:pt idx="2">
                  <c:v>188545</c:v>
                </c:pt>
                <c:pt idx="3">
                  <c:v>186785</c:v>
                </c:pt>
                <c:pt idx="4">
                  <c:v>183895</c:v>
                </c:pt>
                <c:pt idx="5">
                  <c:v>181259</c:v>
                </c:pt>
                <c:pt idx="6">
                  <c:v>177918</c:v>
                </c:pt>
                <c:pt idx="7">
                  <c:v>174933</c:v>
                </c:pt>
                <c:pt idx="8">
                  <c:v>172391</c:v>
                </c:pt>
                <c:pt idx="9">
                  <c:v>169538</c:v>
                </c:pt>
                <c:pt idx="10">
                  <c:v>166307</c:v>
                </c:pt>
                <c:pt idx="11">
                  <c:v>164486</c:v>
                </c:pt>
                <c:pt idx="12">
                  <c:v>164284</c:v>
                </c:pt>
                <c:pt idx="13">
                  <c:v>164408</c:v>
                </c:pt>
                <c:pt idx="14">
                  <c:v>164195</c:v>
                </c:pt>
                <c:pt idx="15">
                  <c:v>163386</c:v>
                </c:pt>
                <c:pt idx="16">
                  <c:v>161385</c:v>
                </c:pt>
                <c:pt idx="17">
                  <c:v>158331</c:v>
                </c:pt>
                <c:pt idx="18">
                  <c:v>154523</c:v>
                </c:pt>
              </c:numCache>
            </c:numRef>
          </c:yVal>
        </c:ser>
        <c:ser>
          <c:idx val="5"/>
          <c:order val="2"/>
          <c:tx>
            <c:strRef>
              <c:f>'Derived data'!$A$12</c:f>
              <c:strCache>
                <c:ptCount val="1"/>
                <c:pt idx="0">
                  <c:v>    Number of Free/Reduced-Price-Meal Students</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data'!$B$12:$T$12</c:f>
              <c:numCache>
                <c:formatCode>#,##0</c:formatCode>
                <c:ptCount val="19"/>
                <c:pt idx="1">
                  <c:v>52419.08</c:v>
                </c:pt>
                <c:pt idx="2">
                  <c:v>52792.600000000006</c:v>
                </c:pt>
                <c:pt idx="3">
                  <c:v>52654</c:v>
                </c:pt>
                <c:pt idx="4">
                  <c:v>50335</c:v>
                </c:pt>
                <c:pt idx="5">
                  <c:v>49575</c:v>
                </c:pt>
                <c:pt idx="6" formatCode="General">
                  <c:v>46117</c:v>
                </c:pt>
                <c:pt idx="7">
                  <c:v>42204</c:v>
                </c:pt>
                <c:pt idx="8">
                  <c:v>38787.974999999999</c:v>
                </c:pt>
                <c:pt idx="9">
                  <c:v>37191</c:v>
                </c:pt>
                <c:pt idx="10">
                  <c:v>35257.084000000003</c:v>
                </c:pt>
                <c:pt idx="11">
                  <c:v>32897.200000000004</c:v>
                </c:pt>
                <c:pt idx="12">
                  <c:v>32528.232</c:v>
                </c:pt>
                <c:pt idx="13">
                  <c:v>33539.231999999996</c:v>
                </c:pt>
                <c:pt idx="14">
                  <c:v>31361.244999999999</c:v>
                </c:pt>
                <c:pt idx="15">
                  <c:v>37252.008000000002</c:v>
                </c:pt>
                <c:pt idx="16">
                  <c:v>32761.155000000002</c:v>
                </c:pt>
                <c:pt idx="17">
                  <c:v>31032.876</c:v>
                </c:pt>
                <c:pt idx="18">
                  <c:v>29050.324000000001</c:v>
                </c:pt>
              </c:numCache>
            </c:numRef>
          </c:yVal>
        </c:ser>
        <c:ser>
          <c:idx val="3"/>
          <c:order val="3"/>
          <c:tx>
            <c:strRef>
              <c:f>'Derived data'!$A$10</c:f>
              <c:strCache>
                <c:ptCount val="1"/>
                <c:pt idx="0">
                  <c:v>    Number of ESOL Students</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data'!$B$10:$T$10</c:f>
              <c:numCache>
                <c:formatCode>#,##0</c:formatCode>
                <c:ptCount val="19"/>
                <c:pt idx="1">
                  <c:v>31762.670338645945</c:v>
                </c:pt>
                <c:pt idx="2">
                  <c:v>31989</c:v>
                </c:pt>
                <c:pt idx="3">
                  <c:v>32103</c:v>
                </c:pt>
                <c:pt idx="4">
                  <c:v>31204</c:v>
                </c:pt>
                <c:pt idx="5">
                  <c:v>28725</c:v>
                </c:pt>
                <c:pt idx="6">
                  <c:v>27944</c:v>
                </c:pt>
                <c:pt idx="7">
                  <c:v>22650</c:v>
                </c:pt>
                <c:pt idx="8">
                  <c:v>21204.093000000001</c:v>
                </c:pt>
                <c:pt idx="9">
                  <c:v>20683.635999999999</c:v>
                </c:pt>
                <c:pt idx="10">
                  <c:v>21786.217000000001</c:v>
                </c:pt>
                <c:pt idx="11">
                  <c:v>21218.694</c:v>
                </c:pt>
                <c:pt idx="12">
                  <c:v>21028.351999999999</c:v>
                </c:pt>
                <c:pt idx="13">
                  <c:v>20879.815999999999</c:v>
                </c:pt>
                <c:pt idx="14">
                  <c:v>20031.79</c:v>
                </c:pt>
                <c:pt idx="15">
                  <c:v>19442.933999999997</c:v>
                </c:pt>
                <c:pt idx="16">
                  <c:v>17752.349999999999</c:v>
                </c:pt>
                <c:pt idx="17">
                  <c:v>15516.438</c:v>
                </c:pt>
                <c:pt idx="18">
                  <c:v>13443.500999999998</c:v>
                </c:pt>
              </c:numCache>
            </c:numRef>
          </c:yVal>
        </c:ser>
        <c:ser>
          <c:idx val="6"/>
          <c:order val="4"/>
          <c:tx>
            <c:strRef>
              <c:f>'Derived data'!$A$13</c:f>
              <c:strCache>
                <c:ptCount val="1"/>
                <c:pt idx="0">
                  <c:v>Self-contained special education enrollment Or Level 2</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data'!$B$13:$T$13</c:f>
              <c:numCache>
                <c:formatCode>#,##0</c:formatCode>
                <c:ptCount val="19"/>
                <c:pt idx="1">
                  <c:v>13936.060653955288</c:v>
                </c:pt>
                <c:pt idx="2">
                  <c:v>13892</c:v>
                </c:pt>
                <c:pt idx="3">
                  <c:v>13639</c:v>
                </c:pt>
                <c:pt idx="4">
                  <c:v>13300</c:v>
                </c:pt>
                <c:pt idx="5">
                  <c:v>12980</c:v>
                </c:pt>
                <c:pt idx="6">
                  <c:v>12806</c:v>
                </c:pt>
                <c:pt idx="7">
                  <c:v>12594</c:v>
                </c:pt>
                <c:pt idx="8">
                  <c:v>12196</c:v>
                </c:pt>
                <c:pt idx="9">
                  <c:v>11995</c:v>
                </c:pt>
                <c:pt idx="10">
                  <c:v>11455</c:v>
                </c:pt>
                <c:pt idx="11">
                  <c:v>11430</c:v>
                </c:pt>
                <c:pt idx="12">
                  <c:v>10889</c:v>
                </c:pt>
                <c:pt idx="13">
                  <c:v>10613</c:v>
                </c:pt>
                <c:pt idx="14">
                  <c:v>10474</c:v>
                </c:pt>
                <c:pt idx="15">
                  <c:v>10152</c:v>
                </c:pt>
                <c:pt idx="16">
                  <c:v>9354</c:v>
                </c:pt>
                <c:pt idx="17">
                  <c:v>9016</c:v>
                </c:pt>
                <c:pt idx="18">
                  <c:v>8868</c:v>
                </c:pt>
              </c:numCache>
            </c:numRef>
          </c:yVal>
        </c:ser>
        <c:axId val="182611968"/>
        <c:axId val="182613888"/>
      </c:scatterChart>
      <c:valAx>
        <c:axId val="182611968"/>
        <c:scaling>
          <c:orientation val="minMax"/>
          <c:max val="2018"/>
          <c:min val="1998"/>
        </c:scaling>
        <c:axPos val="b"/>
        <c:majorGridlines/>
        <c:title>
          <c:tx>
            <c:rich>
              <a:bodyPr/>
              <a:lstStyle/>
              <a:p>
                <a:pPr>
                  <a:defRPr/>
                </a:pPr>
                <a:r>
                  <a:rPr lang="en-US"/>
                  <a:t>Fiscal Year</a:t>
                </a:r>
              </a:p>
            </c:rich>
          </c:tx>
          <c:layout/>
        </c:title>
        <c:numFmt formatCode="0" sourceLinked="1"/>
        <c:tickLblPos val="nextTo"/>
        <c:crossAx val="182613888"/>
        <c:crosses val="autoZero"/>
        <c:crossBetween val="midCat"/>
        <c:majorUnit val="4"/>
      </c:valAx>
      <c:valAx>
        <c:axId val="182613888"/>
        <c:scaling>
          <c:orientation val="minMax"/>
        </c:scaling>
        <c:axPos val="l"/>
        <c:majorGridlines/>
        <c:numFmt formatCode="#,##0" sourceLinked="0"/>
        <c:tickLblPos val="nextTo"/>
        <c:crossAx val="182611968"/>
        <c:crosses val="autoZero"/>
        <c:crossBetween val="midCat"/>
      </c:valAx>
    </c:plotArea>
    <c:legend>
      <c:legendPos val="r"/>
      <c:layout>
        <c:manualLayout>
          <c:xMode val="edge"/>
          <c:yMode val="edge"/>
          <c:x val="0.66992770308043803"/>
          <c:y val="6.8008630822987845E-2"/>
          <c:w val="0.32285208031306695"/>
          <c:h val="0.8639824163083939"/>
        </c:manualLayout>
      </c:layout>
    </c:legend>
    <c:plotVisOnly val="1"/>
  </c:chart>
  <c:printSettings>
    <c:headerFooter/>
    <c:pageMargins b="0.750000000000005" l="0.70000000000000062" r="0.70000000000000062" t="0.75000000000000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'Budget summary'!$A$68</c:f>
              <c:strCache>
                <c:ptCount val="1"/>
                <c:pt idx="0">
                  <c:v>Regular salaries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summary'!$B$68:$S$68</c:f>
              <c:numCache>
                <c:formatCode>"$"#,##0;"$"\-#,##0</c:formatCode>
                <c:ptCount val="18"/>
                <c:pt idx="0">
                  <c:v>1476.0363950546434</c:v>
                </c:pt>
                <c:pt idx="1">
                  <c:v>1433.3648007870142</c:v>
                </c:pt>
                <c:pt idx="2">
                  <c:v>1407.9553820000001</c:v>
                </c:pt>
                <c:pt idx="3">
                  <c:v>1428.7309251294998</c:v>
                </c:pt>
                <c:pt idx="4">
                  <c:v>1405.9178572606984</c:v>
                </c:pt>
                <c:pt idx="5">
                  <c:v>1392.4641077311576</c:v>
                </c:pt>
                <c:pt idx="6">
                  <c:v>1362.8941056891488</c:v>
                </c:pt>
                <c:pt idx="7">
                  <c:v>1429.1466018016013</c:v>
                </c:pt>
                <c:pt idx="8">
                  <c:v>1474.4672461318619</c:v>
                </c:pt>
                <c:pt idx="9">
                  <c:v>1418.8817204058078</c:v>
                </c:pt>
                <c:pt idx="10">
                  <c:v>1414.6576274377703</c:v>
                </c:pt>
                <c:pt idx="11">
                  <c:v>1389.2234671580311</c:v>
                </c:pt>
                <c:pt idx="12">
                  <c:v>1347.5162077952036</c:v>
                </c:pt>
                <c:pt idx="13">
                  <c:v>1327.8151540619617</c:v>
                </c:pt>
                <c:pt idx="14">
                  <c:v>1306.1518787184773</c:v>
                </c:pt>
                <c:pt idx="15">
                  <c:v>1271.4403421214727</c:v>
                </c:pt>
                <c:pt idx="16">
                  <c:v>1201.6815705532747</c:v>
                </c:pt>
                <c:pt idx="17">
                  <c:v>1121.6425509630433</c:v>
                </c:pt>
              </c:numCache>
            </c:numRef>
          </c:yVal>
        </c:ser>
        <c:ser>
          <c:idx val="4"/>
          <c:order val="1"/>
          <c:tx>
            <c:strRef>
              <c:f>'Budget summary'!$A$72</c:f>
              <c:strCache>
                <c:ptCount val="1"/>
                <c:pt idx="0">
                  <c:v>Employee benefits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summary'!$B$72:$S$72</c:f>
              <c:numCache>
                <c:formatCode>"$"#,##0;"$"\-#,##0</c:formatCode>
                <c:ptCount val="18"/>
                <c:pt idx="0">
                  <c:v>704.78237560333207</c:v>
                </c:pt>
                <c:pt idx="1">
                  <c:v>668.30166256763414</c:v>
                </c:pt>
                <c:pt idx="2">
                  <c:v>656.92323399999998</c:v>
                </c:pt>
                <c:pt idx="3">
                  <c:v>625.39431941450005</c:v>
                </c:pt>
                <c:pt idx="4">
                  <c:v>641.63246945254343</c:v>
                </c:pt>
                <c:pt idx="5">
                  <c:v>565.51697074846686</c:v>
                </c:pt>
                <c:pt idx="6">
                  <c:v>520.38433417904969</c:v>
                </c:pt>
                <c:pt idx="7">
                  <c:v>519.9260868777875</c:v>
                </c:pt>
                <c:pt idx="8">
                  <c:v>577.59872196251513</c:v>
                </c:pt>
                <c:pt idx="9">
                  <c:v>566.73602432882319</c:v>
                </c:pt>
                <c:pt idx="10">
                  <c:v>529.32596705206447</c:v>
                </c:pt>
                <c:pt idx="11">
                  <c:v>462.16394285754683</c:v>
                </c:pt>
                <c:pt idx="12">
                  <c:v>430.88712426700545</c:v>
                </c:pt>
                <c:pt idx="13">
                  <c:v>363.16049021522485</c:v>
                </c:pt>
                <c:pt idx="14">
                  <c:v>338.15702540997069</c:v>
                </c:pt>
                <c:pt idx="15">
                  <c:v>305.49784314511004</c:v>
                </c:pt>
                <c:pt idx="16">
                  <c:v>325.98596764086022</c:v>
                </c:pt>
                <c:pt idx="17">
                  <c:v>330.0850054400949</c:v>
                </c:pt>
              </c:numCache>
            </c:numRef>
          </c:yVal>
        </c:ser>
        <c:ser>
          <c:idx val="5"/>
          <c:order val="2"/>
          <c:tx>
            <c:strRef>
              <c:f>'Budget summary'!$A$73</c:f>
              <c:strCache>
                <c:ptCount val="1"/>
                <c:pt idx="0">
                  <c:v>Mat'l and supplies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summary'!$B$73:$S$73</c:f>
              <c:numCache>
                <c:formatCode>"$"#,##0;"$"\-#,##0</c:formatCode>
                <c:ptCount val="18"/>
                <c:pt idx="0">
                  <c:v>84.633766173435902</c:v>
                </c:pt>
                <c:pt idx="1">
                  <c:v>93.73609542547959</c:v>
                </c:pt>
                <c:pt idx="2">
                  <c:v>86.219729000000001</c:v>
                </c:pt>
                <c:pt idx="3">
                  <c:v>84.955986955500009</c:v>
                </c:pt>
                <c:pt idx="4">
                  <c:v>103.50737270198098</c:v>
                </c:pt>
                <c:pt idx="5">
                  <c:v>92.315750833665831</c:v>
                </c:pt>
                <c:pt idx="6">
                  <c:v>94.114408290529042</c:v>
                </c:pt>
                <c:pt idx="7">
                  <c:v>79.690142505649547</c:v>
                </c:pt>
                <c:pt idx="8">
                  <c:v>80.244708983424871</c:v>
                </c:pt>
                <c:pt idx="9">
                  <c:v>84.795638051363042</c:v>
                </c:pt>
                <c:pt idx="10">
                  <c:v>92.751090634363393</c:v>
                </c:pt>
                <c:pt idx="11">
                  <c:v>97.219224974008597</c:v>
                </c:pt>
                <c:pt idx="12">
                  <c:v>88.84994256793685</c:v>
                </c:pt>
                <c:pt idx="13">
                  <c:v>86.21020582417583</c:v>
                </c:pt>
                <c:pt idx="14">
                  <c:v>95.074393799960987</c:v>
                </c:pt>
                <c:pt idx="15">
                  <c:v>85.636643128419536</c:v>
                </c:pt>
                <c:pt idx="16">
                  <c:v>91.492960101010866</c:v>
                </c:pt>
                <c:pt idx="17">
                  <c:v>93.310462946721088</c:v>
                </c:pt>
              </c:numCache>
            </c:numRef>
          </c:yVal>
        </c:ser>
        <c:ser>
          <c:idx val="1"/>
          <c:order val="3"/>
          <c:tx>
            <c:strRef>
              <c:f>'Budget summary'!$A$69</c:f>
              <c:strCache>
                <c:ptCount val="1"/>
                <c:pt idx="0">
                  <c:v>Hourly salaries contracted</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summary'!$B$69:$S$69</c:f>
              <c:numCache>
                <c:formatCode>"$"#,##0;"$"\-#,##0</c:formatCode>
                <c:ptCount val="18"/>
                <c:pt idx="0">
                  <c:v>69.839099037064045</c:v>
                </c:pt>
                <c:pt idx="1">
                  <c:v>68.493592720118045</c:v>
                </c:pt>
                <c:pt idx="2">
                  <c:v>66.958011999999997</c:v>
                </c:pt>
                <c:pt idx="3">
                  <c:v>67.599312478499996</c:v>
                </c:pt>
                <c:pt idx="4">
                  <c:v>64.660901710714484</c:v>
                </c:pt>
                <c:pt idx="5">
                  <c:v>62.597043303283513</c:v>
                </c:pt>
                <c:pt idx="6">
                  <c:v>63.001591945706899</c:v>
                </c:pt>
                <c:pt idx="7">
                  <c:v>64.700507813745674</c:v>
                </c:pt>
                <c:pt idx="8">
                  <c:v>66.816702090332186</c:v>
                </c:pt>
                <c:pt idx="9">
                  <c:v>65.815477152208629</c:v>
                </c:pt>
                <c:pt idx="10">
                  <c:v>66.072359321031357</c:v>
                </c:pt>
                <c:pt idx="11">
                  <c:v>62.026085177701148</c:v>
                </c:pt>
                <c:pt idx="12">
                  <c:v>58.497846165187042</c:v>
                </c:pt>
                <c:pt idx="13">
                  <c:v>58.901336560140578</c:v>
                </c:pt>
                <c:pt idx="14">
                  <c:v>58.086707886920912</c:v>
                </c:pt>
                <c:pt idx="15">
                  <c:v>52.20118269552222</c:v>
                </c:pt>
                <c:pt idx="16">
                  <c:v>48.944753915604025</c:v>
                </c:pt>
                <c:pt idx="17">
                  <c:v>44.193241247895614</c:v>
                </c:pt>
              </c:numCache>
            </c:numRef>
          </c:yVal>
        </c:ser>
        <c:ser>
          <c:idx val="9"/>
          <c:order val="4"/>
          <c:tx>
            <c:strRef>
              <c:f>'Budget summary'!$A$77</c:f>
              <c:strCache>
                <c:ptCount val="1"/>
                <c:pt idx="0">
                  <c:v>Maintenance by contractors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summary'!$B$77:$S$77</c:f>
              <c:numCache>
                <c:formatCode>"$"#,##0;"$"\-#,##0</c:formatCode>
                <c:ptCount val="18"/>
                <c:pt idx="0">
                  <c:v>61.084554433741935</c:v>
                </c:pt>
                <c:pt idx="1">
                  <c:v>59.090326610919824</c:v>
                </c:pt>
                <c:pt idx="2">
                  <c:v>60.93094</c:v>
                </c:pt>
                <c:pt idx="3">
                  <c:v>64.080743471000005</c:v>
                </c:pt>
                <c:pt idx="4">
                  <c:v>62.814242752027489</c:v>
                </c:pt>
                <c:pt idx="5">
                  <c:v>56.748346593114739</c:v>
                </c:pt>
                <c:pt idx="6">
                  <c:v>65.14486219548408</c:v>
                </c:pt>
                <c:pt idx="7">
                  <c:v>52.592816559130554</c:v>
                </c:pt>
                <c:pt idx="8">
                  <c:v>52.171321530663413</c:v>
                </c:pt>
                <c:pt idx="9">
                  <c:v>54.742024237734078</c:v>
                </c:pt>
                <c:pt idx="10">
                  <c:v>51.64326716285381</c:v>
                </c:pt>
                <c:pt idx="11">
                  <c:v>52.610958032664776</c:v>
                </c:pt>
                <c:pt idx="12">
                  <c:v>39.04916993590794</c:v>
                </c:pt>
                <c:pt idx="13">
                  <c:v>34.827894697653761</c:v>
                </c:pt>
                <c:pt idx="14">
                  <c:v>45.066882368989127</c:v>
                </c:pt>
                <c:pt idx="15">
                  <c:v>34.012453761785707</c:v>
                </c:pt>
                <c:pt idx="16">
                  <c:v>28.853969881692542</c:v>
                </c:pt>
                <c:pt idx="17">
                  <c:v>33.133135903867448</c:v>
                </c:pt>
              </c:numCache>
            </c:numRef>
          </c:yVal>
        </c:ser>
        <c:ser>
          <c:idx val="6"/>
          <c:order val="5"/>
          <c:tx>
            <c:strRef>
              <c:f>'Budget summary'!$A$74</c:f>
              <c:strCache>
                <c:ptCount val="1"/>
                <c:pt idx="0">
                  <c:v>Utilities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summary'!$B$74:$S$74</c:f>
              <c:numCache>
                <c:formatCode>"$"#,##0;"$"\-#,##0</c:formatCode>
                <c:ptCount val="18"/>
                <c:pt idx="0">
                  <c:v>46.381298830003416</c:v>
                </c:pt>
                <c:pt idx="1">
                  <c:v>46.102886374815547</c:v>
                </c:pt>
                <c:pt idx="2">
                  <c:v>44.072871999999997</c:v>
                </c:pt>
                <c:pt idx="3">
                  <c:v>47.882534400499992</c:v>
                </c:pt>
                <c:pt idx="4">
                  <c:v>49.307225802404993</c:v>
                </c:pt>
                <c:pt idx="5">
                  <c:v>49.084679882444</c:v>
                </c:pt>
                <c:pt idx="6">
                  <c:v>51.408561527476422</c:v>
                </c:pt>
                <c:pt idx="7">
                  <c:v>49.295073338435714</c:v>
                </c:pt>
                <c:pt idx="8">
                  <c:v>63.549979879809065</c:v>
                </c:pt>
                <c:pt idx="9">
                  <c:v>57.884194456753463</c:v>
                </c:pt>
                <c:pt idx="10">
                  <c:v>56.814651681918583</c:v>
                </c:pt>
                <c:pt idx="11">
                  <c:v>57.79854269136959</c:v>
                </c:pt>
                <c:pt idx="12">
                  <c:v>60.515791486131214</c:v>
                </c:pt>
                <c:pt idx="13">
                  <c:v>60.698417678330273</c:v>
                </c:pt>
                <c:pt idx="14">
                  <c:v>53.426346170004607</c:v>
                </c:pt>
                <c:pt idx="15">
                  <c:v>48.962024828144656</c:v>
                </c:pt>
                <c:pt idx="16">
                  <c:v>47.821446235642853</c:v>
                </c:pt>
                <c:pt idx="17">
                  <c:v>38.216759084716024</c:v>
                </c:pt>
              </c:numCache>
            </c:numRef>
          </c:yVal>
        </c:ser>
        <c:ser>
          <c:idx val="2"/>
          <c:order val="6"/>
          <c:tx>
            <c:strRef>
              <c:f>'Budget summary'!$A$70</c:f>
              <c:strCache>
                <c:ptCount val="1"/>
                <c:pt idx="0">
                  <c:v>Hourly salaries non contracted</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summary'!$B$70:$S$70</c:f>
              <c:numCache>
                <c:formatCode>"$"#,##0;"$"\-#,##0</c:formatCode>
                <c:ptCount val="18"/>
                <c:pt idx="0">
                  <c:v>43.160193259811244</c:v>
                </c:pt>
                <c:pt idx="1">
                  <c:v>41.635262174126908</c:v>
                </c:pt>
                <c:pt idx="2">
                  <c:v>50.619954999999997</c:v>
                </c:pt>
                <c:pt idx="3">
                  <c:v>51.678400541999999</c:v>
                </c:pt>
                <c:pt idx="4">
                  <c:v>52.107688527214989</c:v>
                </c:pt>
                <c:pt idx="5">
                  <c:v>54.002309189678925</c:v>
                </c:pt>
                <c:pt idx="6">
                  <c:v>50.788754316149884</c:v>
                </c:pt>
                <c:pt idx="7">
                  <c:v>48.84256061305031</c:v>
                </c:pt>
                <c:pt idx="8">
                  <c:v>50.967410462936506</c:v>
                </c:pt>
                <c:pt idx="9">
                  <c:v>52.160856497162229</c:v>
                </c:pt>
                <c:pt idx="10">
                  <c:v>51.913109005127204</c:v>
                </c:pt>
                <c:pt idx="11">
                  <c:v>52.614145482691555</c:v>
                </c:pt>
                <c:pt idx="12">
                  <c:v>52.118103707429889</c:v>
                </c:pt>
                <c:pt idx="13">
                  <c:v>50.146553273869195</c:v>
                </c:pt>
                <c:pt idx="14">
                  <c:v>56.178995701392516</c:v>
                </c:pt>
                <c:pt idx="15">
                  <c:v>53.717683251349769</c:v>
                </c:pt>
                <c:pt idx="16">
                  <c:v>50.704348524461174</c:v>
                </c:pt>
                <c:pt idx="17">
                  <c:v>46.299099901305311</c:v>
                </c:pt>
              </c:numCache>
            </c:numRef>
          </c:yVal>
        </c:ser>
        <c:ser>
          <c:idx val="10"/>
          <c:order val="7"/>
          <c:tx>
            <c:strRef>
              <c:f>'Budget summary'!$A$78</c:f>
              <c:strCache>
                <c:ptCount val="1"/>
                <c:pt idx="0">
                  <c:v>County services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summary'!$B$78:$S$78</c:f>
              <c:numCache>
                <c:formatCode>"$"#,##0;"$"\-#,##0</c:formatCode>
                <c:ptCount val="18"/>
                <c:pt idx="0">
                  <c:v>32.506403805966919</c:v>
                </c:pt>
                <c:pt idx="1">
                  <c:v>31.939815051647816</c:v>
                </c:pt>
                <c:pt idx="2">
                  <c:v>30.073425</c:v>
                </c:pt>
                <c:pt idx="3">
                  <c:v>31.478750402999996</c:v>
                </c:pt>
                <c:pt idx="4">
                  <c:v>30.796352343226495</c:v>
                </c:pt>
                <c:pt idx="5">
                  <c:v>33.035804796006275</c:v>
                </c:pt>
                <c:pt idx="6">
                  <c:v>33.964471058213604</c:v>
                </c:pt>
                <c:pt idx="7">
                  <c:v>29.598618230280234</c:v>
                </c:pt>
                <c:pt idx="8">
                  <c:v>31.315633251097264</c:v>
                </c:pt>
                <c:pt idx="9">
                  <c:v>34.759935416469794</c:v>
                </c:pt>
                <c:pt idx="10">
                  <c:v>30.719078309047116</c:v>
                </c:pt>
                <c:pt idx="11">
                  <c:v>29.346186416820473</c:v>
                </c:pt>
                <c:pt idx="12">
                  <c:v>26.074615916360841</c:v>
                </c:pt>
                <c:pt idx="13">
                  <c:v>24.94066764231366</c:v>
                </c:pt>
                <c:pt idx="14">
                  <c:v>25.405614533673774</c:v>
                </c:pt>
                <c:pt idx="15">
                  <c:v>21.924654999383822</c:v>
                </c:pt>
                <c:pt idx="16">
                  <c:v>23.283860608695651</c:v>
                </c:pt>
                <c:pt idx="17">
                  <c:v>21.923365500540502</c:v>
                </c:pt>
              </c:numCache>
            </c:numRef>
          </c:yVal>
        </c:ser>
        <c:ser>
          <c:idx val="3"/>
          <c:order val="8"/>
          <c:tx>
            <c:strRef>
              <c:f>'Budget summary'!$A$71</c:f>
              <c:strCache>
                <c:ptCount val="1"/>
                <c:pt idx="0">
                  <c:v>Salary supplements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summary'!$B$71:$S$71</c:f>
              <c:numCache>
                <c:formatCode>"$"#,##0;"$"\-#,##0</c:formatCode>
                <c:ptCount val="18"/>
                <c:pt idx="0">
                  <c:v>15.553125519435948</c:v>
                </c:pt>
                <c:pt idx="1">
                  <c:v>16.006319724545008</c:v>
                </c:pt>
                <c:pt idx="2">
                  <c:v>7.9960000000000004</c:v>
                </c:pt>
                <c:pt idx="3">
                  <c:v>8.0569385904999997</c:v>
                </c:pt>
                <c:pt idx="4">
                  <c:v>7.0937347955179986</c:v>
                </c:pt>
                <c:pt idx="5">
                  <c:v>8.2182302762157509</c:v>
                </c:pt>
                <c:pt idx="6">
                  <c:v>10.048913069217546</c:v>
                </c:pt>
                <c:pt idx="7">
                  <c:v>12.856363148211951</c:v>
                </c:pt>
                <c:pt idx="8">
                  <c:v>9.6746617969601001</c:v>
                </c:pt>
                <c:pt idx="9">
                  <c:v>10.61348195595731</c:v>
                </c:pt>
                <c:pt idx="10">
                  <c:v>9.8674685041551893</c:v>
                </c:pt>
                <c:pt idx="11">
                  <c:v>10.694218698433263</c:v>
                </c:pt>
                <c:pt idx="12">
                  <c:v>13.368283079126593</c:v>
                </c:pt>
                <c:pt idx="13">
                  <c:v>10.409159966789412</c:v>
                </c:pt>
                <c:pt idx="14">
                  <c:v>12.390057723520243</c:v>
                </c:pt>
                <c:pt idx="15">
                  <c:v>13.101664316189963</c:v>
                </c:pt>
                <c:pt idx="16">
                  <c:v>11.283663758672361</c:v>
                </c:pt>
                <c:pt idx="17">
                  <c:v>11.670026095208623</c:v>
                </c:pt>
              </c:numCache>
            </c:numRef>
          </c:yVal>
        </c:ser>
        <c:ser>
          <c:idx val="7"/>
          <c:order val="9"/>
          <c:tx>
            <c:strRef>
              <c:f>'Budget summary'!$A$75</c:f>
              <c:strCache>
                <c:ptCount val="1"/>
                <c:pt idx="0">
                  <c:v>Travel expenses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summary'!$B$75:$S$75</c:f>
              <c:numCache>
                <c:formatCode>"$"#,##0;"$"\-#,##0</c:formatCode>
                <c:ptCount val="18"/>
                <c:pt idx="0">
                  <c:v>2.08053105074679</c:v>
                </c:pt>
                <c:pt idx="1">
                  <c:v>2.1158435809149045</c:v>
                </c:pt>
                <c:pt idx="2">
                  <c:v>1.788063</c:v>
                </c:pt>
                <c:pt idx="3">
                  <c:v>1.871716011</c:v>
                </c:pt>
                <c:pt idx="4">
                  <c:v>1.9027327672354997</c:v>
                </c:pt>
                <c:pt idx="5">
                  <c:v>2.2940564076064662</c:v>
                </c:pt>
                <c:pt idx="6">
                  <c:v>2.0618491567685657</c:v>
                </c:pt>
                <c:pt idx="7">
                  <c:v>2.2201201257986689</c:v>
                </c:pt>
                <c:pt idx="8">
                  <c:v>2.5374441337400127</c:v>
                </c:pt>
                <c:pt idx="9">
                  <c:v>2.771350419466148</c:v>
                </c:pt>
                <c:pt idx="10">
                  <c:v>2.6637557639689153</c:v>
                </c:pt>
                <c:pt idx="11">
                  <c:v>2.1874393252020146</c:v>
                </c:pt>
                <c:pt idx="12">
                  <c:v>1.9975954095777069</c:v>
                </c:pt>
                <c:pt idx="13">
                  <c:v>1.830798429692825</c:v>
                </c:pt>
                <c:pt idx="14">
                  <c:v>2.0297705485630431</c:v>
                </c:pt>
                <c:pt idx="15">
                  <c:v>1.7953783908353247</c:v>
                </c:pt>
                <c:pt idx="16">
                  <c:v>1.4957108552919252</c:v>
                </c:pt>
                <c:pt idx="17">
                  <c:v>1.347983300751016</c:v>
                </c:pt>
              </c:numCache>
            </c:numRef>
          </c:yVal>
        </c:ser>
        <c:ser>
          <c:idx val="8"/>
          <c:order val="10"/>
          <c:tx>
            <c:strRef>
              <c:f>'Budget summary'!$A$76</c:f>
              <c:strCache>
                <c:ptCount val="1"/>
                <c:pt idx="0">
                  <c:v>Other operating expenses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summary'!$B$76:$S$76</c:f>
              <c:numCache>
                <c:formatCode>"$"#,##0;"$"\-#,##0</c:formatCode>
                <c:ptCount val="18"/>
                <c:pt idx="0">
                  <c:v>-0.37014252536057174</c:v>
                </c:pt>
                <c:pt idx="1">
                  <c:v>-0.3886876537137236</c:v>
                </c:pt>
                <c:pt idx="2">
                  <c:v>-1.794719</c:v>
                </c:pt>
                <c:pt idx="3">
                  <c:v>3.7710045845</c:v>
                </c:pt>
                <c:pt idx="4">
                  <c:v>1.4367220453449998</c:v>
                </c:pt>
                <c:pt idx="5">
                  <c:v>1.3513995839022004</c:v>
                </c:pt>
                <c:pt idx="6">
                  <c:v>1.4376524269700832</c:v>
                </c:pt>
                <c:pt idx="7">
                  <c:v>2.5876580673850822</c:v>
                </c:pt>
                <c:pt idx="8">
                  <c:v>4.0596561233776409</c:v>
                </c:pt>
                <c:pt idx="9">
                  <c:v>5.3269105726639641</c:v>
                </c:pt>
                <c:pt idx="10">
                  <c:v>4.2275087765399872</c:v>
                </c:pt>
                <c:pt idx="11">
                  <c:v>7.393819955455176</c:v>
                </c:pt>
                <c:pt idx="12">
                  <c:v>7.8461312815352864</c:v>
                </c:pt>
                <c:pt idx="13">
                  <c:v>7.6423030138281192</c:v>
                </c:pt>
                <c:pt idx="14">
                  <c:v>22.927096079921057</c:v>
                </c:pt>
                <c:pt idx="15">
                  <c:v>6.58419107720428</c:v>
                </c:pt>
                <c:pt idx="16">
                  <c:v>6.7448354784689437</c:v>
                </c:pt>
                <c:pt idx="17">
                  <c:v>5.6358159805852202</c:v>
                </c:pt>
              </c:numCache>
            </c:numRef>
          </c:yVal>
        </c:ser>
        <c:ser>
          <c:idx val="11"/>
          <c:order val="11"/>
          <c:tx>
            <c:strRef>
              <c:f>'Budget summary'!$A$79</c:f>
              <c:strCache>
                <c:ptCount val="1"/>
                <c:pt idx="0">
                  <c:v>Capital expenses</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summary'!$B$79:$S$79</c:f>
              <c:numCache>
                <c:formatCode>"$"#,##0;"$"\-#,##0</c:formatCode>
                <c:ptCount val="18"/>
                <c:pt idx="0">
                  <c:v>18.816120340016877</c:v>
                </c:pt>
                <c:pt idx="1">
                  <c:v>16.937644859813084</c:v>
                </c:pt>
                <c:pt idx="2">
                  <c:v>13.613054</c:v>
                </c:pt>
                <c:pt idx="3">
                  <c:v>19.125850033999999</c:v>
                </c:pt>
                <c:pt idx="4">
                  <c:v>14.240743289727497</c:v>
                </c:pt>
                <c:pt idx="5">
                  <c:v>15.940506893144031</c:v>
                </c:pt>
                <c:pt idx="6">
                  <c:v>25.537390114575356</c:v>
                </c:pt>
                <c:pt idx="7">
                  <c:v>24.848581160085047</c:v>
                </c:pt>
                <c:pt idx="8">
                  <c:v>29.582702123943587</c:v>
                </c:pt>
                <c:pt idx="9">
                  <c:v>34.876181915524562</c:v>
                </c:pt>
                <c:pt idx="10">
                  <c:v>37.281845039646022</c:v>
                </c:pt>
                <c:pt idx="11">
                  <c:v>44.676161574935811</c:v>
                </c:pt>
                <c:pt idx="12">
                  <c:v>47.473108245656178</c:v>
                </c:pt>
                <c:pt idx="13">
                  <c:v>44.210474339826817</c:v>
                </c:pt>
                <c:pt idx="14">
                  <c:v>44.199534307293746</c:v>
                </c:pt>
                <c:pt idx="15">
                  <c:v>38.941796864034316</c:v>
                </c:pt>
                <c:pt idx="16">
                  <c:v>34.780128189830741</c:v>
                </c:pt>
                <c:pt idx="17">
                  <c:v>30.681764770705136</c:v>
                </c:pt>
              </c:numCache>
            </c:numRef>
          </c:yVal>
        </c:ser>
        <c:ser>
          <c:idx val="12"/>
          <c:order val="12"/>
          <c:tx>
            <c:strRef>
              <c:f>'Budget summary'!$A$80</c:f>
              <c:strCache>
                <c:ptCount val="1"/>
                <c:pt idx="0">
                  <c:v>Construction &amp; insurance</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summary'!$B$80:$S$80</c:f>
              <c:numCache>
                <c:formatCode>"$"#,##0;"$"\-#,##0</c:formatCode>
                <c:ptCount val="18"/>
                <c:pt idx="0">
                  <c:v>4.4258684001239752</c:v>
                </c:pt>
                <c:pt idx="1">
                  <c:v>4.3955996064928673</c:v>
                </c:pt>
                <c:pt idx="2">
                  <c:v>7.2925389999999997</c:v>
                </c:pt>
                <c:pt idx="3">
                  <c:v>4.5418510955000002</c:v>
                </c:pt>
                <c:pt idx="4">
                  <c:v>5.031496437543999</c:v>
                </c:pt>
                <c:pt idx="5">
                  <c:v>5.891109649901769</c:v>
                </c:pt>
                <c:pt idx="6">
                  <c:v>4.8988936056687438</c:v>
                </c:pt>
                <c:pt idx="7">
                  <c:v>5.113340115065637</c:v>
                </c:pt>
                <c:pt idx="8">
                  <c:v>3.9176723354299483</c:v>
                </c:pt>
                <c:pt idx="9">
                  <c:v>6.2814299149078696</c:v>
                </c:pt>
                <c:pt idx="10">
                  <c:v>9.7483876188497032</c:v>
                </c:pt>
                <c:pt idx="11">
                  <c:v>8.1664612509860941</c:v>
                </c:pt>
                <c:pt idx="12">
                  <c:v>8.4229303657687513</c:v>
                </c:pt>
                <c:pt idx="13">
                  <c:v>6.8150562019895577</c:v>
                </c:pt>
                <c:pt idx="14">
                  <c:v>4.3055253828483693</c:v>
                </c:pt>
                <c:pt idx="15">
                  <c:v>1.3889316831600886</c:v>
                </c:pt>
                <c:pt idx="16">
                  <c:v>3.4178767051847823</c:v>
                </c:pt>
                <c:pt idx="17">
                  <c:v>3.9847965692921021</c:v>
                </c:pt>
              </c:numCache>
            </c:numRef>
          </c:yVal>
        </c:ser>
        <c:ser>
          <c:idx val="13"/>
          <c:order val="13"/>
          <c:tx>
            <c:strRef>
              <c:f>'Budget summary'!$A$81</c:f>
              <c:strCache>
                <c:ptCount val="1"/>
                <c:pt idx="0">
                  <c:v>Transfer out</c:v>
                </c:pt>
              </c:strCache>
            </c:strRef>
          </c:tx>
          <c:xVal>
            <c:numRef>
              <c:f>'Budget summary'!$B$67:$S$67</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'Budget summary'!$B$81:$S$81</c:f>
              <c:numCache>
                <c:formatCode>"$"#,##0;"$"\-#,##0</c:formatCode>
                <c:ptCount val="18"/>
                <c:pt idx="0">
                  <c:v>28.054762914614226</c:v>
                </c:pt>
                <c:pt idx="1">
                  <c:v>28.466635514018691</c:v>
                </c:pt>
                <c:pt idx="2">
                  <c:v>33.634686000000002</c:v>
                </c:pt>
                <c:pt idx="3">
                  <c:v>41.321356246500002</c:v>
                </c:pt>
                <c:pt idx="4">
                  <c:v>35.462628521727495</c:v>
                </c:pt>
                <c:pt idx="5">
                  <c:v>27.773442336363239</c:v>
                </c:pt>
                <c:pt idx="6">
                  <c:v>31.057951729431075</c:v>
                </c:pt>
                <c:pt idx="7">
                  <c:v>38.512106844205505</c:v>
                </c:pt>
                <c:pt idx="8">
                  <c:v>43.82952567730851</c:v>
                </c:pt>
                <c:pt idx="9">
                  <c:v>48.763639860880062</c:v>
                </c:pt>
                <c:pt idx="10">
                  <c:v>56.337240011459919</c:v>
                </c:pt>
                <c:pt idx="11">
                  <c:v>49.858079926373755</c:v>
                </c:pt>
                <c:pt idx="12">
                  <c:v>38.681103230589322</c:v>
                </c:pt>
                <c:pt idx="13">
                  <c:v>41.273411816280685</c:v>
                </c:pt>
                <c:pt idx="14">
                  <c:v>38.889795419609513</c:v>
                </c:pt>
                <c:pt idx="15">
                  <c:v>35.61272681795316</c:v>
                </c:pt>
                <c:pt idx="16">
                  <c:v>30.996085057692543</c:v>
                </c:pt>
                <c:pt idx="17">
                  <c:v>30.502451775850027</c:v>
                </c:pt>
              </c:numCache>
            </c:numRef>
          </c:yVal>
        </c:ser>
        <c:axId val="183888512"/>
        <c:axId val="190972672"/>
      </c:scatterChart>
      <c:valAx>
        <c:axId val="183888512"/>
        <c:scaling>
          <c:orientation val="minMax"/>
          <c:max val="2018"/>
          <c:min val="1998"/>
        </c:scaling>
        <c:axPos val="b"/>
        <c:majorGridlines/>
        <c:title>
          <c:tx>
            <c:rich>
              <a:bodyPr/>
              <a:lstStyle/>
              <a:p>
                <a:pPr>
                  <a:defRPr/>
                </a:pPr>
                <a:r>
                  <a:rPr lang="en-US"/>
                  <a:t>Fiscal Year</a:t>
                </a:r>
              </a:p>
            </c:rich>
          </c:tx>
          <c:layout/>
        </c:title>
        <c:numFmt formatCode="General" sourceLinked="1"/>
        <c:tickLblPos val="nextTo"/>
        <c:crossAx val="190972672"/>
        <c:crosses val="autoZero"/>
        <c:crossBetween val="midCat"/>
      </c:valAx>
      <c:valAx>
        <c:axId val="190972672"/>
        <c:scaling>
          <c:orientation val="minMax"/>
          <c:min val="0"/>
        </c:scaling>
        <c:axPos val="l"/>
        <c:majorGridlines/>
        <c:numFmt formatCode="&quot;$&quot;#,##0;&quot;$&quot;\-#,##0" sourceLinked="1"/>
        <c:tickLblPos val="nextTo"/>
        <c:crossAx val="183888512"/>
        <c:crosses val="autoZero"/>
        <c:crossBetween val="midCat"/>
      </c:valAx>
    </c:plotArea>
    <c:legend>
      <c:legendPos val="r"/>
      <c:layout/>
    </c:legend>
    <c:plotVisOnly val="1"/>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4"/>
          <c:order val="0"/>
          <c:tx>
            <c:strRef>
              <c:f>Comparisons!$B$2</c:f>
              <c:strCache>
                <c:ptCount val="1"/>
                <c:pt idx="0">
                  <c:v>Equiv regular students</c:v>
                </c:pt>
              </c:strCache>
            </c:strRef>
          </c:tx>
          <c:marker>
            <c:symbol val="none"/>
          </c:marker>
          <c:xVal>
            <c:numRef>
              <c:f>Comparisons!$A$4:$A$21</c:f>
              <c:numCache>
                <c:formatCode>0</c:formatCode>
                <c:ptCount val="18"/>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xVal>
          <c:yVal>
            <c:numRef>
              <c:f>Comparisons!$B$4:$B$21</c:f>
              <c:numCache>
                <c:formatCode>#,##0</c:formatCode>
                <c:ptCount val="18"/>
                <c:pt idx="0">
                  <c:v>184302</c:v>
                </c:pt>
                <c:pt idx="1">
                  <c:v>189530.81899999999</c:v>
                </c:pt>
                <c:pt idx="2">
                  <c:v>194581.57500000001</c:v>
                </c:pt>
                <c:pt idx="3">
                  <c:v>199502.66699999999</c:v>
                </c:pt>
                <c:pt idx="4">
                  <c:v>201443.29499999998</c:v>
                </c:pt>
                <c:pt idx="5">
                  <c:v>202441.70799999998</c:v>
                </c:pt>
                <c:pt idx="6">
                  <c:v>203109.57600000003</c:v>
                </c:pt>
                <c:pt idx="7">
                  <c:v>204813.34699999998</c:v>
                </c:pt>
                <c:pt idx="8">
                  <c:v>206983.10850000003</c:v>
                </c:pt>
                <c:pt idx="9">
                  <c:v>211066.81799999997</c:v>
                </c:pt>
                <c:pt idx="10">
                  <c:v>214702.64650000003</c:v>
                </c:pt>
                <c:pt idx="11">
                  <c:v>218960.5785</c:v>
                </c:pt>
                <c:pt idx="12">
                  <c:v>225180.16300000003</c:v>
                </c:pt>
                <c:pt idx="13">
                  <c:v>230685.90350000001</c:v>
                </c:pt>
                <c:pt idx="14">
                  <c:v>234077</c:v>
                </c:pt>
                <c:pt idx="15">
                  <c:v>238297.9</c:v>
                </c:pt>
                <c:pt idx="16">
                  <c:v>240658.7</c:v>
                </c:pt>
                <c:pt idx="17">
                  <c:v>238955.9833763823</c:v>
                </c:pt>
              </c:numCache>
            </c:numRef>
          </c:yVal>
        </c:ser>
        <c:ser>
          <c:idx val="2"/>
          <c:order val="1"/>
          <c:tx>
            <c:strRef>
              <c:f>Comparisons!$D$2</c:f>
              <c:strCache>
                <c:ptCount val="1"/>
                <c:pt idx="0">
                  <c:v>Students count</c:v>
                </c:pt>
              </c:strCache>
            </c:strRef>
          </c:tx>
          <c:marker>
            <c:symbol val="none"/>
          </c:marker>
          <c:xVal>
            <c:numRef>
              <c:f>Comparisons!$A$4:$A$21</c:f>
              <c:numCache>
                <c:formatCode>0</c:formatCode>
                <c:ptCount val="18"/>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xVal>
          <c:yVal>
            <c:numRef>
              <c:f>Comparisons!$D$4:$D$21</c:f>
              <c:numCache>
                <c:formatCode>#,##0</c:formatCode>
                <c:ptCount val="18"/>
                <c:pt idx="0">
                  <c:v>154523</c:v>
                </c:pt>
                <c:pt idx="1">
                  <c:v>158331</c:v>
                </c:pt>
                <c:pt idx="2">
                  <c:v>161385</c:v>
                </c:pt>
                <c:pt idx="3">
                  <c:v>163386</c:v>
                </c:pt>
                <c:pt idx="4">
                  <c:v>164195</c:v>
                </c:pt>
                <c:pt idx="5">
                  <c:v>164408</c:v>
                </c:pt>
                <c:pt idx="6">
                  <c:v>164284</c:v>
                </c:pt>
                <c:pt idx="7">
                  <c:v>164486</c:v>
                </c:pt>
                <c:pt idx="8">
                  <c:v>166307</c:v>
                </c:pt>
                <c:pt idx="9">
                  <c:v>169538</c:v>
                </c:pt>
                <c:pt idx="10">
                  <c:v>172391</c:v>
                </c:pt>
                <c:pt idx="11">
                  <c:v>174933</c:v>
                </c:pt>
                <c:pt idx="12">
                  <c:v>177918</c:v>
                </c:pt>
                <c:pt idx="13">
                  <c:v>181259</c:v>
                </c:pt>
                <c:pt idx="14">
                  <c:v>183895</c:v>
                </c:pt>
                <c:pt idx="15">
                  <c:v>186785</c:v>
                </c:pt>
                <c:pt idx="16">
                  <c:v>188545</c:v>
                </c:pt>
                <c:pt idx="17">
                  <c:v>187211</c:v>
                </c:pt>
              </c:numCache>
            </c:numRef>
          </c:yVal>
        </c:ser>
        <c:axId val="191583744"/>
        <c:axId val="191585280"/>
      </c:scatterChart>
      <c:valAx>
        <c:axId val="191583744"/>
        <c:scaling>
          <c:orientation val="minMax"/>
        </c:scaling>
        <c:axPos val="b"/>
        <c:majorGridlines/>
        <c:numFmt formatCode="General" sourceLinked="1"/>
        <c:tickLblPos val="nextTo"/>
        <c:crossAx val="191585280"/>
        <c:crosses val="autoZero"/>
        <c:crossBetween val="midCat"/>
      </c:valAx>
      <c:valAx>
        <c:axId val="191585280"/>
        <c:scaling>
          <c:orientation val="minMax"/>
        </c:scaling>
        <c:axPos val="l"/>
        <c:majorGridlines/>
        <c:numFmt formatCode="#,##0" sourceLinked="1"/>
        <c:tickLblPos val="nextTo"/>
        <c:crossAx val="191583744"/>
        <c:crosses val="autoZero"/>
        <c:crossBetween val="midCat"/>
      </c:valAx>
    </c:plotArea>
    <c:legend>
      <c:legendPos val="r"/>
    </c:legend>
    <c:plotVisOnly val="1"/>
  </c:chart>
  <c:printSettings>
    <c:headerFooter/>
    <c:pageMargins b="0.75000000000000377" l="0.70000000000000062" r="0.70000000000000062" t="0.750000000000003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layout/>
    </c:title>
    <c:plotArea>
      <c:layout/>
      <c:scatterChart>
        <c:scatterStyle val="lineMarker"/>
        <c:ser>
          <c:idx val="0"/>
          <c:order val="0"/>
          <c:tx>
            <c:strRef>
              <c:f>Comparisons!$M$3</c:f>
              <c:strCache>
                <c:ptCount val="1"/>
                <c:pt idx="0">
                  <c:v>Cost per equiv student (2014$)</c:v>
                </c:pt>
              </c:strCache>
            </c:strRef>
          </c:tx>
          <c:marker>
            <c:symbol val="none"/>
          </c:marker>
          <c:xVal>
            <c:numRef>
              <c:f>Comparisons!$A$4:$A$21</c:f>
              <c:numCache>
                <c:formatCode>0</c:formatCode>
                <c:ptCount val="18"/>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xVal>
          <c:yVal>
            <c:numRef>
              <c:f>Comparisons!$M$4:$M$21</c:f>
              <c:numCache>
                <c:formatCode>"$"#,##0.00</c:formatCode>
                <c:ptCount val="18"/>
                <c:pt idx="0">
                  <c:v>9835.1038526093598</c:v>
                </c:pt>
                <c:pt idx="1">
                  <c:v>10064.258612771486</c:v>
                </c:pt>
                <c:pt idx="2">
                  <c:v>10128.489899830265</c:v>
                </c:pt>
                <c:pt idx="3">
                  <c:v>10537.651729994899</c:v>
                </c:pt>
                <c:pt idx="4">
                  <c:v>10518.5031039235</c:v>
                </c:pt>
                <c:pt idx="5">
                  <c:v>10972.531181437262</c:v>
                </c:pt>
                <c:pt idx="6">
                  <c:v>11451.841805441114</c:v>
                </c:pt>
                <c:pt idx="7">
                  <c:v>11784.067775531303</c:v>
                </c:pt>
                <c:pt idx="8">
                  <c:v>11809.537613335846</c:v>
                </c:pt>
                <c:pt idx="9">
                  <c:v>11798.651475316654</c:v>
                </c:pt>
                <c:pt idx="10">
                  <c:v>10993.841061659534</c:v>
                </c:pt>
                <c:pt idx="11">
                  <c:v>10578.800810106988</c:v>
                </c:pt>
                <c:pt idx="12">
                  <c:v>10512.899755667166</c:v>
                </c:pt>
                <c:pt idx="13">
                  <c:v>11406.090312907725</c:v>
                </c:pt>
                <c:pt idx="14">
                  <c:v>10596.896274971485</c:v>
                </c:pt>
                <c:pt idx="15">
                  <c:v>10349.579966923755</c:v>
                </c:pt>
                <c:pt idx="16">
                  <c:v>10430.530030054293</c:v>
                </c:pt>
                <c:pt idx="17">
                  <c:v>10826.196169454304</c:v>
                </c:pt>
              </c:numCache>
            </c:numRef>
          </c:yVal>
        </c:ser>
        <c:axId val="191604992"/>
        <c:axId val="191623168"/>
      </c:scatterChart>
      <c:valAx>
        <c:axId val="191604992"/>
        <c:scaling>
          <c:orientation val="minMax"/>
        </c:scaling>
        <c:axPos val="b"/>
        <c:majorGridlines/>
        <c:numFmt formatCode="General" sourceLinked="1"/>
        <c:tickLblPos val="nextTo"/>
        <c:crossAx val="191623168"/>
        <c:crosses val="autoZero"/>
        <c:crossBetween val="midCat"/>
      </c:valAx>
      <c:valAx>
        <c:axId val="191623168"/>
        <c:scaling>
          <c:orientation val="minMax"/>
        </c:scaling>
        <c:axPos val="l"/>
        <c:majorGridlines/>
        <c:numFmt formatCode="&quot;$&quot;#,##0.00" sourceLinked="1"/>
        <c:tickLblPos val="nextTo"/>
        <c:crossAx val="191604992"/>
        <c:crosses val="autoZero"/>
        <c:crossBetween val="midCat"/>
      </c:valAx>
    </c:plotArea>
    <c:plotVisOnly val="1"/>
  </c:chart>
  <c:printSettings>
    <c:headerFooter/>
    <c:pageMargins b="0.75000000000000377" l="0.70000000000000062" r="0.70000000000000062" t="0.750000000000003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plotArea>
      <c:layout/>
      <c:scatterChart>
        <c:scatterStyle val="lineMarker"/>
        <c:ser>
          <c:idx val="0"/>
          <c:order val="0"/>
          <c:tx>
            <c:strRef>
              <c:f>Comparisons!$N$3</c:f>
              <c:strCache>
                <c:ptCount val="1"/>
                <c:pt idx="0">
                  <c:v>Teachers/total budget</c:v>
                </c:pt>
              </c:strCache>
            </c:strRef>
          </c:tx>
          <c:marker>
            <c:symbol val="none"/>
          </c:marker>
          <c:xVal>
            <c:numRef>
              <c:f>Comparisons!$A$4:$A$21</c:f>
              <c:numCache>
                <c:formatCode>0</c:formatCode>
                <c:ptCount val="18"/>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xVal>
          <c:yVal>
            <c:numRef>
              <c:f>Comparisons!$N$4:$N$21</c:f>
              <c:numCache>
                <c:formatCode>General</c:formatCode>
                <c:ptCount val="18"/>
                <c:pt idx="0">
                  <c:v>0.43783228187655054</c:v>
                </c:pt>
                <c:pt idx="1">
                  <c:v>0.44083403079061684</c:v>
                </c:pt>
                <c:pt idx="2">
                  <c:v>0.44944502400473413</c:v>
                </c:pt>
                <c:pt idx="3">
                  <c:v>0.43403618599494037</c:v>
                </c:pt>
                <c:pt idx="4">
                  <c:v>0.43343423537468861</c:v>
                </c:pt>
                <c:pt idx="5">
                  <c:v>0.41791658091554551</c:v>
                </c:pt>
                <c:pt idx="6">
                  <c:v>0.40975480680064053</c:v>
                </c:pt>
                <c:pt idx="7">
                  <c:v>0.40012340568663263</c:v>
                </c:pt>
                <c:pt idx="8">
                  <c:v>0.39456710645362592</c:v>
                </c:pt>
                <c:pt idx="9">
                  <c:v>0.40242080213601478</c:v>
                </c:pt>
                <c:pt idx="10">
                  <c:v>0.41144049923480241</c:v>
                </c:pt>
                <c:pt idx="11">
                  <c:v>0.40176944921340585</c:v>
                </c:pt>
                <c:pt idx="12">
                  <c:v>0.40234323373443331</c:v>
                </c:pt>
                <c:pt idx="13">
                  <c:v>0.37727110876904968</c:v>
                </c:pt>
                <c:pt idx="14">
                  <c:v>0.39214943832818278</c:v>
                </c:pt>
                <c:pt idx="15">
                  <c:v>0.3890537497451651</c:v>
                </c:pt>
                <c:pt idx="16">
                  <c:v>0.40161152011184176</c:v>
                </c:pt>
                <c:pt idx="17">
                  <c:v>0.40343066378738579</c:v>
                </c:pt>
              </c:numCache>
            </c:numRef>
          </c:yVal>
        </c:ser>
        <c:axId val="193666048"/>
        <c:axId val="193671936"/>
      </c:scatterChart>
      <c:valAx>
        <c:axId val="193666048"/>
        <c:scaling>
          <c:orientation val="minMax"/>
        </c:scaling>
        <c:axPos val="b"/>
        <c:majorGridlines/>
        <c:numFmt formatCode="General" sourceLinked="1"/>
        <c:tickLblPos val="nextTo"/>
        <c:crossAx val="193671936"/>
        <c:crosses val="autoZero"/>
        <c:crossBetween val="midCat"/>
      </c:valAx>
      <c:valAx>
        <c:axId val="193671936"/>
        <c:scaling>
          <c:orientation val="minMax"/>
          <c:min val="0"/>
        </c:scaling>
        <c:axPos val="l"/>
        <c:majorGridlines/>
        <c:numFmt formatCode="#,##0.00" sourceLinked="0"/>
        <c:tickLblPos val="nextTo"/>
        <c:crossAx val="193666048"/>
        <c:crosses val="autoZero"/>
        <c:crossBetween val="midCat"/>
      </c:valAx>
    </c:plotArea>
    <c:plotVisOnly val="1"/>
  </c:chart>
  <c:printSettings>
    <c:headerFooter/>
    <c:pageMargins b="0.750000000000004" l="0.70000000000000062" r="0.70000000000000062" t="0.75000000000000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Comparisons!$O$3</c:f>
              <c:strCache>
                <c:ptCount val="1"/>
                <c:pt idx="0">
                  <c:v>Total wages</c:v>
                </c:pt>
              </c:strCache>
            </c:strRef>
          </c:tx>
          <c:marker>
            <c:symbol val="none"/>
          </c:marker>
          <c:xVal>
            <c:numRef>
              <c:f>Comparisons!$A$4:$A$21</c:f>
              <c:numCache>
                <c:formatCode>0</c:formatCode>
                <c:ptCount val="18"/>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xVal>
          <c:yVal>
            <c:numRef>
              <c:f>Comparisons!$O$4:$O$21</c:f>
              <c:numCache>
                <c:formatCode>"$"#,##0;"$"\-#,##0</c:formatCode>
                <c:ptCount val="18"/>
                <c:pt idx="0">
                  <c:v>786906900</c:v>
                </c:pt>
                <c:pt idx="1">
                  <c:v>867049100</c:v>
                </c:pt>
                <c:pt idx="2">
                  <c:v>931886200</c:v>
                </c:pt>
                <c:pt idx="3">
                  <c:v>979145500</c:v>
                </c:pt>
                <c:pt idx="4">
                  <c:v>1021892728</c:v>
                </c:pt>
                <c:pt idx="5">
                  <c:v>1072190539</c:v>
                </c:pt>
                <c:pt idx="6">
                  <c:v>1141033430</c:v>
                </c:pt>
                <c:pt idx="7">
                  <c:v>1194775690</c:v>
                </c:pt>
                <c:pt idx="8">
                  <c:v>1244588986</c:v>
                </c:pt>
                <c:pt idx="9">
                  <c:v>1288540745</c:v>
                </c:pt>
                <c:pt idx="10">
                  <c:v>1269896062</c:v>
                </c:pt>
                <c:pt idx="11">
                  <c:v>1248783922</c:v>
                </c:pt>
                <c:pt idx="12">
                  <c:v>1302541662</c:v>
                </c:pt>
                <c:pt idx="13">
                  <c:v>1354649129</c:v>
                </c:pt>
                <c:pt idx="14">
                  <c:v>1405539523</c:v>
                </c:pt>
                <c:pt idx="15">
                  <c:v>1407955382</c:v>
                </c:pt>
                <c:pt idx="16">
                  <c:v>1457015320</c:v>
                </c:pt>
                <c:pt idx="17">
                  <c:v>1525147447</c:v>
                </c:pt>
              </c:numCache>
            </c:numRef>
          </c:yVal>
        </c:ser>
        <c:ser>
          <c:idx val="1"/>
          <c:order val="1"/>
          <c:tx>
            <c:strRef>
              <c:f>Comparisons!$P$3</c:f>
              <c:strCache>
                <c:ptCount val="1"/>
                <c:pt idx="0">
                  <c:v>Teacher wages</c:v>
                </c:pt>
              </c:strCache>
            </c:strRef>
          </c:tx>
          <c:marker>
            <c:symbol val="none"/>
          </c:marker>
          <c:xVal>
            <c:numRef>
              <c:f>Comparisons!$A$4:$A$21</c:f>
              <c:numCache>
                <c:formatCode>0</c:formatCode>
                <c:ptCount val="18"/>
                <c:pt idx="0" formatCode="General">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xVal>
          <c:yVal>
            <c:numRef>
              <c:f>Comparisons!$P$4:$P$21</c:f>
              <c:numCache>
                <c:formatCode>"$"#,##0;"$"\-#,##0</c:formatCode>
                <c:ptCount val="18"/>
                <c:pt idx="0">
                  <c:v>556782600</c:v>
                </c:pt>
                <c:pt idx="1">
                  <c:v>606723800</c:v>
                </c:pt>
                <c:pt idx="2">
                  <c:v>649217000</c:v>
                </c:pt>
                <c:pt idx="3">
                  <c:v>684025100</c:v>
                </c:pt>
                <c:pt idx="4">
                  <c:v>706801814</c:v>
                </c:pt>
                <c:pt idx="5">
                  <c:v>738642669</c:v>
                </c:pt>
                <c:pt idx="6">
                  <c:v>782809440</c:v>
                </c:pt>
                <c:pt idx="7">
                  <c:v>815775121</c:v>
                </c:pt>
                <c:pt idx="8">
                  <c:v>846008033</c:v>
                </c:pt>
                <c:pt idx="9">
                  <c:v>875932602</c:v>
                </c:pt>
                <c:pt idx="10">
                  <c:v>862775216</c:v>
                </c:pt>
                <c:pt idx="11">
                  <c:v>852864609</c:v>
                </c:pt>
                <c:pt idx="12">
                  <c:v>890933853</c:v>
                </c:pt>
                <c:pt idx="13">
                  <c:v>922083851</c:v>
                </c:pt>
                <c:pt idx="14">
                  <c:v>956933240</c:v>
                </c:pt>
                <c:pt idx="15">
                  <c:v>959516716</c:v>
                </c:pt>
                <c:pt idx="16">
                  <c:v>1024758405</c:v>
                </c:pt>
                <c:pt idx="17">
                  <c:v>1078394024</c:v>
                </c:pt>
              </c:numCache>
            </c:numRef>
          </c:yVal>
        </c:ser>
        <c:axId val="193696512"/>
        <c:axId val="193698048"/>
      </c:scatterChart>
      <c:valAx>
        <c:axId val="193696512"/>
        <c:scaling>
          <c:orientation val="minMax"/>
        </c:scaling>
        <c:axPos val="b"/>
        <c:majorGridlines/>
        <c:numFmt formatCode="General" sourceLinked="1"/>
        <c:tickLblPos val="nextTo"/>
        <c:crossAx val="193698048"/>
        <c:crosses val="autoZero"/>
        <c:crossBetween val="midCat"/>
      </c:valAx>
      <c:valAx>
        <c:axId val="193698048"/>
        <c:scaling>
          <c:orientation val="minMax"/>
        </c:scaling>
        <c:axPos val="l"/>
        <c:majorGridlines/>
        <c:numFmt formatCode="&quot;$&quot;#,##0;&quot;$&quot;\-#,##0" sourceLinked="1"/>
        <c:tickLblPos val="nextTo"/>
        <c:crossAx val="193696512"/>
        <c:crosses val="autoZero"/>
        <c:crossBetween val="midCat"/>
      </c:valAx>
    </c:plotArea>
    <c:legend>
      <c:legendPos val="b"/>
      <c:layout/>
    </c:legend>
    <c:plotVisOnly val="1"/>
  </c:chart>
  <c:printSettings>
    <c:headerFooter/>
    <c:pageMargins b="0.75000000000000355" l="0.70000000000000062" r="0.70000000000000062" t="0.750000000000003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9"/>
          <c:order val="0"/>
          <c:tx>
            <c:strRef>
              <c:f>'Derived data'!$A$17</c:f>
              <c:strCache>
                <c:ptCount val="1"/>
                <c:pt idx="0">
                  <c:v>Ratio: students/teachers</c:v>
                </c:pt>
              </c:strCache>
            </c:strRef>
          </c:tx>
          <c:marker>
            <c:symbol val="none"/>
          </c:marker>
          <c:xVal>
            <c:numRef>
              <c:f>'Derived data'!$B$6:$K$6</c:f>
              <c:numCache>
                <c:formatCode>0</c:formatCode>
                <c:ptCount val="10"/>
                <c:pt idx="0">
                  <c:v>2018</c:v>
                </c:pt>
                <c:pt idx="1">
                  <c:v>2017</c:v>
                </c:pt>
                <c:pt idx="2">
                  <c:v>2016</c:v>
                </c:pt>
                <c:pt idx="3">
                  <c:v>2015</c:v>
                </c:pt>
                <c:pt idx="4">
                  <c:v>2014</c:v>
                </c:pt>
                <c:pt idx="5">
                  <c:v>2013</c:v>
                </c:pt>
                <c:pt idx="6">
                  <c:v>2012</c:v>
                </c:pt>
                <c:pt idx="7">
                  <c:v>2011</c:v>
                </c:pt>
                <c:pt idx="8">
                  <c:v>2010</c:v>
                </c:pt>
                <c:pt idx="9">
                  <c:v>2009</c:v>
                </c:pt>
              </c:numCache>
            </c:numRef>
          </c:xVal>
          <c:yVal>
            <c:numRef>
              <c:f>'Derived data'!$B$17:$K$17</c:f>
              <c:numCache>
                <c:formatCode>0.0</c:formatCode>
                <c:ptCount val="10"/>
                <c:pt idx="1">
                  <c:v>12.260293260509375</c:v>
                </c:pt>
                <c:pt idx="2">
                  <c:v>12.43561078243205</c:v>
                </c:pt>
                <c:pt idx="3">
                  <c:v>12.577098146951087</c:v>
                </c:pt>
                <c:pt idx="4">
                  <c:v>12.277018185702461</c:v>
                </c:pt>
                <c:pt idx="5">
                  <c:v>12.31253608667595</c:v>
                </c:pt>
                <c:pt idx="6">
                  <c:v>12.424181057659405</c:v>
                </c:pt>
                <c:pt idx="7">
                  <c:v>12.568019024491878</c:v>
                </c:pt>
                <c:pt idx="8">
                  <c:v>12.565765975902211</c:v>
                </c:pt>
                <c:pt idx="9">
                  <c:v>12.346288568952586</c:v>
                </c:pt>
              </c:numCache>
            </c:numRef>
          </c:yVal>
        </c:ser>
        <c:ser>
          <c:idx val="10"/>
          <c:order val="1"/>
          <c:tx>
            <c:strRef>
              <c:f>'Derived data'!$A$18</c:f>
              <c:strCache>
                <c:ptCount val="1"/>
                <c:pt idx="0">
                  <c:v>     students/teacher, adjusted for ESOL, FRM, and SpEd</c:v>
                </c:pt>
              </c:strCache>
            </c:strRef>
          </c:tx>
          <c:marker>
            <c:symbol val="none"/>
          </c:marker>
          <c:xVal>
            <c:numRef>
              <c:f>'Derived data'!$B$6:$K$6</c:f>
              <c:numCache>
                <c:formatCode>0</c:formatCode>
                <c:ptCount val="10"/>
                <c:pt idx="0">
                  <c:v>2018</c:v>
                </c:pt>
                <c:pt idx="1">
                  <c:v>2017</c:v>
                </c:pt>
                <c:pt idx="2">
                  <c:v>2016</c:v>
                </c:pt>
                <c:pt idx="3">
                  <c:v>2015</c:v>
                </c:pt>
                <c:pt idx="4">
                  <c:v>2014</c:v>
                </c:pt>
                <c:pt idx="5">
                  <c:v>2013</c:v>
                </c:pt>
                <c:pt idx="6">
                  <c:v>2012</c:v>
                </c:pt>
                <c:pt idx="7">
                  <c:v>2011</c:v>
                </c:pt>
                <c:pt idx="8">
                  <c:v>2010</c:v>
                </c:pt>
                <c:pt idx="9">
                  <c:v>2009</c:v>
                </c:pt>
              </c:numCache>
            </c:numRef>
          </c:xVal>
          <c:yVal>
            <c:numRef>
              <c:f>'Derived data'!$B$18:$K$18</c:f>
              <c:numCache>
                <c:formatCode>0.0</c:formatCode>
                <c:ptCount val="10"/>
                <c:pt idx="1">
                  <c:v>15.649029344150986</c:v>
                </c:pt>
                <c:pt idx="2">
                  <c:v>15.872804500814555</c:v>
                </c:pt>
                <c:pt idx="3">
                  <c:v>16.04570001077354</c:v>
                </c:pt>
                <c:pt idx="4">
                  <c:v>15.627219803989641</c:v>
                </c:pt>
                <c:pt idx="5">
                  <c:v>15.669999898108211</c:v>
                </c:pt>
                <c:pt idx="6">
                  <c:v>15.724542293108385</c:v>
                </c:pt>
                <c:pt idx="7">
                  <c:v>15.731169740424891</c:v>
                </c:pt>
                <c:pt idx="8">
                  <c:v>15.649907537666468</c:v>
                </c:pt>
                <c:pt idx="9">
                  <c:v>15.370547265855414</c:v>
                </c:pt>
              </c:numCache>
            </c:numRef>
          </c:yVal>
        </c:ser>
        <c:axId val="193800832"/>
        <c:axId val="193827200"/>
      </c:scatterChart>
      <c:valAx>
        <c:axId val="193800832"/>
        <c:scaling>
          <c:orientation val="minMax"/>
        </c:scaling>
        <c:axPos val="b"/>
        <c:majorGridlines/>
        <c:numFmt formatCode="0" sourceLinked="1"/>
        <c:tickLblPos val="nextTo"/>
        <c:crossAx val="193827200"/>
        <c:crosses val="autoZero"/>
        <c:crossBetween val="midCat"/>
      </c:valAx>
      <c:valAx>
        <c:axId val="193827200"/>
        <c:scaling>
          <c:orientation val="minMax"/>
        </c:scaling>
        <c:axPos val="l"/>
        <c:majorGridlines/>
        <c:numFmt formatCode="#,##0.00" sourceLinked="0"/>
        <c:tickLblPos val="nextTo"/>
        <c:crossAx val="193800832"/>
        <c:crosses val="autoZero"/>
        <c:crossBetween val="midCat"/>
      </c:valAx>
    </c:plotArea>
    <c:legend>
      <c:legendPos val="r"/>
    </c:legend>
    <c:plotVisOnly val="1"/>
  </c:chart>
  <c:printSettings>
    <c:headerFooter/>
    <c:pageMargins b="0.75000000000000455" l="0.70000000000000062" r="0.70000000000000062" t="0.750000000000004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FCPS Operating Budget</a:t>
            </a:r>
          </a:p>
        </c:rich>
      </c:tx>
    </c:title>
    <c:plotArea>
      <c:layout/>
      <c:scatterChart>
        <c:scatterStyle val="lineMarker"/>
        <c:ser>
          <c:idx val="1"/>
          <c:order val="0"/>
          <c:tx>
            <c:strRef>
              <c:f>'Derived data'!$A$46</c:f>
              <c:strCache>
                <c:ptCount val="1"/>
                <c:pt idx="0">
                  <c:v>Total expenditures, $ in millions</c:v>
                </c:pt>
              </c:strCache>
            </c:strRef>
          </c:tx>
          <c:marker>
            <c:symbol val="none"/>
          </c:marker>
          <c:xVal>
            <c:numRef>
              <c:f>'Derived data'!$C$43:$K$43</c:f>
              <c:numCache>
                <c:formatCode>General</c:formatCode>
                <c:ptCount val="9"/>
                <c:pt idx="0">
                  <c:v>2017</c:v>
                </c:pt>
                <c:pt idx="1">
                  <c:v>2016</c:v>
                </c:pt>
                <c:pt idx="2">
                  <c:v>2015</c:v>
                </c:pt>
                <c:pt idx="3">
                  <c:v>2014</c:v>
                </c:pt>
                <c:pt idx="4">
                  <c:v>2013</c:v>
                </c:pt>
                <c:pt idx="5">
                  <c:v>2012</c:v>
                </c:pt>
                <c:pt idx="6">
                  <c:v>2011</c:v>
                </c:pt>
                <c:pt idx="7">
                  <c:v>2010</c:v>
                </c:pt>
                <c:pt idx="8">
                  <c:v>2009</c:v>
                </c:pt>
              </c:numCache>
            </c:numRef>
          </c:xVal>
          <c:yVal>
            <c:numRef>
              <c:f>'Derived data'!$C$46:$K$46</c:f>
              <c:numCache>
                <c:formatCode>_("$"* #,##0_);_("$"* \(#,##0\);_("$"* "-"??_);_(@_)</c:formatCode>
                <c:ptCount val="9"/>
                <c:pt idx="0">
                  <c:v>2673.0591420000001</c:v>
                </c:pt>
                <c:pt idx="1">
                  <c:v>2551.6160610000002</c:v>
                </c:pt>
                <c:pt idx="2">
                  <c:v>2466.2831719999999</c:v>
                </c:pt>
                <c:pt idx="3">
                  <c:v>2440.2259610000001</c:v>
                </c:pt>
                <c:pt idx="4">
                  <c:v>2385.6246259999998</c:v>
                </c:pt>
                <c:pt idx="5">
                  <c:v>2214.362709</c:v>
                </c:pt>
                <c:pt idx="6">
                  <c:v>2122.7711829999998</c:v>
                </c:pt>
                <c:pt idx="7">
                  <c:v>2096.962301</c:v>
                </c:pt>
                <c:pt idx="8">
                  <c:v>2176.6583569999998</c:v>
                </c:pt>
              </c:numCache>
            </c:numRef>
          </c:yVal>
        </c:ser>
        <c:ser>
          <c:idx val="2"/>
          <c:order val="1"/>
          <c:tx>
            <c:strRef>
              <c:f>'Derived data'!$A$47</c:f>
              <c:strCache>
                <c:ptCount val="1"/>
                <c:pt idx="0">
                  <c:v>Total expenditures, FY2015$ in millions</c:v>
                </c:pt>
              </c:strCache>
            </c:strRef>
          </c:tx>
          <c:marker>
            <c:symbol val="none"/>
          </c:marker>
          <c:xVal>
            <c:numRef>
              <c:f>'Derived data'!$C$43:$K$43</c:f>
              <c:numCache>
                <c:formatCode>General</c:formatCode>
                <c:ptCount val="9"/>
                <c:pt idx="0">
                  <c:v>2017</c:v>
                </c:pt>
                <c:pt idx="1">
                  <c:v>2016</c:v>
                </c:pt>
                <c:pt idx="2">
                  <c:v>2015</c:v>
                </c:pt>
                <c:pt idx="3">
                  <c:v>2014</c:v>
                </c:pt>
                <c:pt idx="4">
                  <c:v>2013</c:v>
                </c:pt>
                <c:pt idx="5">
                  <c:v>2012</c:v>
                </c:pt>
                <c:pt idx="6">
                  <c:v>2011</c:v>
                </c:pt>
                <c:pt idx="7">
                  <c:v>2010</c:v>
                </c:pt>
                <c:pt idx="8">
                  <c:v>2009</c:v>
                </c:pt>
              </c:numCache>
            </c:numRef>
          </c:xVal>
          <c:yVal>
            <c:numRef>
              <c:f>'Derived data'!$C$47:$K$47</c:f>
              <c:numCache>
                <c:formatCode>_("$"* #,##0_);_("$"* \(#,##0\);_("$"* "-"??_);_(@_)</c:formatCode>
                <c:ptCount val="9"/>
                <c:pt idx="0">
                  <c:v>2620.3893167336537</c:v>
                </c:pt>
                <c:pt idx="1">
                  <c:v>2526.3525356435644</c:v>
                </c:pt>
                <c:pt idx="2">
                  <c:v>2466.2831719999999</c:v>
                </c:pt>
                <c:pt idx="3">
                  <c:v>2522.3658122129682</c:v>
                </c:pt>
                <c:pt idx="4">
                  <c:v>2515.2450860855597</c:v>
                </c:pt>
                <c:pt idx="5">
                  <c:v>2367.2964805837928</c:v>
                </c:pt>
                <c:pt idx="6">
                  <c:v>2316.3403452172947</c:v>
                </c:pt>
                <c:pt idx="7">
                  <c:v>2360.406771138672</c:v>
                </c:pt>
                <c:pt idx="8">
                  <c:v>2490.3038235860913</c:v>
                </c:pt>
              </c:numCache>
            </c:numRef>
          </c:yVal>
        </c:ser>
        <c:axId val="193851776"/>
        <c:axId val="193853312"/>
      </c:scatterChart>
      <c:valAx>
        <c:axId val="193851776"/>
        <c:scaling>
          <c:orientation val="minMax"/>
        </c:scaling>
        <c:axPos val="b"/>
        <c:majorGridlines/>
        <c:numFmt formatCode="General" sourceLinked="1"/>
        <c:tickLblPos val="nextTo"/>
        <c:crossAx val="193853312"/>
        <c:crosses val="autoZero"/>
        <c:crossBetween val="midCat"/>
      </c:valAx>
      <c:valAx>
        <c:axId val="193853312"/>
        <c:scaling>
          <c:orientation val="minMax"/>
        </c:scaling>
        <c:axPos val="l"/>
        <c:majorGridlines/>
        <c:numFmt formatCode="_(&quot;$&quot;* #,##0_);_(&quot;$&quot;* \(#,##0\);_(&quot;$&quot;* &quot;-&quot;??_);_(@_)" sourceLinked="1"/>
        <c:tickLblPos val="nextTo"/>
        <c:crossAx val="193851776"/>
        <c:crosses val="autoZero"/>
        <c:crossBetween val="midCat"/>
      </c:valAx>
    </c:plotArea>
    <c:legend>
      <c:legendPos val="r"/>
    </c:legend>
    <c:plotVisOnly val="1"/>
  </c:chart>
  <c:printSettings>
    <c:headerFooter/>
    <c:pageMargins b="0.75000000000000222" l="0.70000000000000062" r="0.70000000000000062" t="0.750000000000002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plotArea>
      <c:layout/>
      <c:scatterChart>
        <c:scatterStyle val="lineMarker"/>
        <c:ser>
          <c:idx val="0"/>
          <c:order val="0"/>
          <c:tx>
            <c:strRef>
              <c:f>'Derived data'!$A$50</c:f>
              <c:strCache>
                <c:ptCount val="1"/>
                <c:pt idx="0">
                  <c:v>Materials and supplies, FY2015$</c:v>
                </c:pt>
              </c:strCache>
            </c:strRef>
          </c:tx>
          <c:marker>
            <c:symbol val="none"/>
          </c:marker>
          <c:xVal>
            <c:numRef>
              <c:f>'Derived data'!$C$43:$T$43</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'Derived data'!$C$50:$T$50</c:f>
              <c:numCache>
                <c:formatCode>General</c:formatCode>
                <c:ptCount val="18"/>
                <c:pt idx="0">
                  <c:v>85.726616998333498</c:v>
                </c:pt>
                <c:pt idx="1">
                  <c:v>94.339347524752469</c:v>
                </c:pt>
                <c:pt idx="2">
                  <c:v>86.219729000000001</c:v>
                </c:pt>
                <c:pt idx="3">
                  <c:v>86.390230912411567</c:v>
                </c:pt>
                <c:pt idx="4">
                  <c:v>105.15171494540351</c:v>
                </c:pt>
                <c:pt idx="5">
                  <c:v>92.318196836993735</c:v>
                </c:pt>
                <c:pt idx="6">
                  <c:v>94.098020981406009</c:v>
                </c:pt>
                <c:pt idx="7">
                  <c:v>79.706222623923068</c:v>
                </c:pt>
                <c:pt idx="8">
                  <c:v>80.230869625960253</c:v>
                </c:pt>
                <c:pt idx="9">
                  <c:v>84.794456521546209</c:v>
                </c:pt>
                <c:pt idx="10">
                  <c:v>92.732302613573395</c:v>
                </c:pt>
                <c:pt idx="11">
                  <c:v>97.219224974008597</c:v>
                </c:pt>
                <c:pt idx="12">
                  <c:v>88.84994256793685</c:v>
                </c:pt>
                <c:pt idx="13">
                  <c:v>86.21020582417583</c:v>
                </c:pt>
                <c:pt idx="14">
                  <c:v>95.074393799960987</c:v>
                </c:pt>
                <c:pt idx="15">
                  <c:v>85.636643128419536</c:v>
                </c:pt>
                <c:pt idx="16">
                  <c:v>91.492960101010866</c:v>
                </c:pt>
                <c:pt idx="17">
                  <c:v>93.310462946721088</c:v>
                </c:pt>
              </c:numCache>
            </c:numRef>
          </c:yVal>
        </c:ser>
        <c:axId val="193934848"/>
        <c:axId val="193936384"/>
      </c:scatterChart>
      <c:valAx>
        <c:axId val="193934848"/>
        <c:scaling>
          <c:orientation val="minMax"/>
        </c:scaling>
        <c:axPos val="b"/>
        <c:majorGridlines/>
        <c:numFmt formatCode="General" sourceLinked="1"/>
        <c:tickLblPos val="nextTo"/>
        <c:crossAx val="193936384"/>
        <c:crosses val="autoZero"/>
        <c:crossBetween val="midCat"/>
      </c:valAx>
      <c:valAx>
        <c:axId val="193936384"/>
        <c:scaling>
          <c:orientation val="minMax"/>
        </c:scaling>
        <c:axPos val="l"/>
        <c:majorGridlines/>
        <c:numFmt formatCode="General" sourceLinked="1"/>
        <c:tickLblPos val="nextTo"/>
        <c:crossAx val="193934848"/>
        <c:crosses val="autoZero"/>
        <c:crossBetween val="midCat"/>
        <c:majorUnit val="10"/>
      </c:valAx>
    </c:plotArea>
    <c:plotVisOnly val="1"/>
  </c:chart>
  <c:printSettings>
    <c:headerFooter/>
    <c:pageMargins b="0.75000000000000189" l="0.70000000000000062" r="0.70000000000000062" t="0.750000000000001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1"/>
          <c:order val="0"/>
          <c:tx>
            <c:v>Percent of county population that is Hispanic</c:v>
          </c:tx>
          <c:marker>
            <c:symbol val="none"/>
          </c:marker>
          <c:xVal>
            <c:numRef>
              <c:f>'Derived data'!$D$6:$T$6</c:f>
              <c:numCache>
                <c:formatCode>0</c:formatCode>
                <c:ptCount val="17"/>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pt idx="14">
                  <c:v>2002</c:v>
                </c:pt>
                <c:pt idx="15">
                  <c:v>2001</c:v>
                </c:pt>
                <c:pt idx="16" formatCode="General">
                  <c:v>2000</c:v>
                </c:pt>
              </c:numCache>
            </c:numRef>
          </c:xVal>
          <c:yVal>
            <c:numRef>
              <c:f>'Derived data'!$D$29:$T$29</c:f>
              <c:numCache>
                <c:formatCode>_(* #,##0_);_(* \(#,##0\);_(* "-"??_);_(@_)</c:formatCode>
                <c:ptCount val="17"/>
                <c:pt idx="2" formatCode="0.0%">
                  <c:v>0.16386441595797238</c:v>
                </c:pt>
                <c:pt idx="3" formatCode="0.0%">
                  <c:v>0.16213114232256101</c:v>
                </c:pt>
                <c:pt idx="4" formatCode="0.0%">
                  <c:v>0.16084183650663952</c:v>
                </c:pt>
                <c:pt idx="5" formatCode="0.0%">
                  <c:v>0.15797879879203264</c:v>
                </c:pt>
                <c:pt idx="6" formatCode="0.0%">
                  <c:v>0.15607553947897526</c:v>
                </c:pt>
                <c:pt idx="7" formatCode="0.0%">
                  <c:v>0.15140250866177399</c:v>
                </c:pt>
                <c:pt idx="8" formatCode="0.0%">
                  <c:v>0.1410013966287863</c:v>
                </c:pt>
                <c:pt idx="9" formatCode="0.0%">
                  <c:v>0.13579235053813893</c:v>
                </c:pt>
                <c:pt idx="10" formatCode="0.0%">
                  <c:v>0.12940165848048826</c:v>
                </c:pt>
                <c:pt idx="11" formatCode="0.0%">
                  <c:v>0.12584485676235868</c:v>
                </c:pt>
                <c:pt idx="16" formatCode="0.0%">
                  <c:v>0.11</c:v>
                </c:pt>
              </c:numCache>
            </c:numRef>
          </c:yVal>
        </c:ser>
        <c:ser>
          <c:idx val="0"/>
          <c:order val="1"/>
          <c:tx>
            <c:v>Percent of children ages 6 to 17 living below poverty line</c:v>
          </c:tx>
          <c:marker>
            <c:symbol val="none"/>
          </c:marker>
          <c:xVal>
            <c:numRef>
              <c:f>'Derived data'!$D$6:$T$6</c:f>
              <c:numCache>
                <c:formatCode>0</c:formatCode>
                <c:ptCount val="17"/>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pt idx="14">
                  <c:v>2002</c:v>
                </c:pt>
                <c:pt idx="15">
                  <c:v>2001</c:v>
                </c:pt>
                <c:pt idx="16" formatCode="General">
                  <c:v>2000</c:v>
                </c:pt>
              </c:numCache>
            </c:numRef>
          </c:xVal>
          <c:yVal>
            <c:numRef>
              <c:f>'Derived data'!$D$33:$T$33</c:f>
              <c:numCache>
                <c:formatCode>_(* #,##0_);_(* \(#,##0\);_(* "-"??_);_(@_)</c:formatCode>
                <c:ptCount val="17"/>
                <c:pt idx="2" formatCode="0.0%">
                  <c:v>5.667159053278216E-2</c:v>
                </c:pt>
                <c:pt idx="3" formatCode="0.0%">
                  <c:v>4.4895187349348137E-2</c:v>
                </c:pt>
                <c:pt idx="4" formatCode="0.0%">
                  <c:v>5.0760536260504044E-2</c:v>
                </c:pt>
                <c:pt idx="5" formatCode="0.0%">
                  <c:v>5.4890780292619221E-2</c:v>
                </c:pt>
                <c:pt idx="6" formatCode="0.0%">
                  <c:v>4.1105211965568808E-2</c:v>
                </c:pt>
                <c:pt idx="7" formatCode="0.0%">
                  <c:v>3.8746349399243415E-2</c:v>
                </c:pt>
                <c:pt idx="8" formatCode="0.0%">
                  <c:v>3.6926781399721276E-2</c:v>
                </c:pt>
                <c:pt idx="9" formatCode="0.0%">
                  <c:v>3.932561179110735E-2</c:v>
                </c:pt>
                <c:pt idx="10" formatCode="0.0%">
                  <c:v>3.2490630377845164E-2</c:v>
                </c:pt>
                <c:pt idx="11" formatCode="0.0%">
                  <c:v>6.2705958032905934E-2</c:v>
                </c:pt>
              </c:numCache>
            </c:numRef>
          </c:yVal>
        </c:ser>
        <c:axId val="193977344"/>
        <c:axId val="193979136"/>
      </c:scatterChart>
      <c:valAx>
        <c:axId val="193977344"/>
        <c:scaling>
          <c:orientation val="minMax"/>
        </c:scaling>
        <c:axPos val="b"/>
        <c:majorGridlines/>
        <c:numFmt formatCode="0" sourceLinked="1"/>
        <c:tickLblPos val="nextTo"/>
        <c:crossAx val="193979136"/>
        <c:crosses val="autoZero"/>
        <c:crossBetween val="midCat"/>
      </c:valAx>
      <c:valAx>
        <c:axId val="193979136"/>
        <c:scaling>
          <c:orientation val="minMax"/>
        </c:scaling>
        <c:axPos val="l"/>
        <c:majorGridlines/>
        <c:numFmt formatCode="0%" sourceLinked="0"/>
        <c:tickLblPos val="nextTo"/>
        <c:crossAx val="193977344"/>
        <c:crosses val="autoZero"/>
        <c:crossBetween val="midCat"/>
      </c:valAx>
    </c:plotArea>
    <c:legend>
      <c:legendPos val="r"/>
    </c:legend>
    <c:plotVisOnly val="1"/>
  </c:chart>
  <c:printSettings>
    <c:headerFooter/>
    <c:pageMargins b="0.75000000000000122" l="0.70000000000000062" r="0.70000000000000062" t="0.750000000000001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a:t>Salary History for Teacher Starting</a:t>
            </a:r>
            <a:r>
              <a:rPr lang="en-US" sz="1200" baseline="0"/>
              <a:t> with a Masters Degree in 2003 (Avg increase = 4.7% per year)</a:t>
            </a:r>
            <a:endParaRPr lang="en-US" sz="1200"/>
          </a:p>
        </c:rich>
      </c:tx>
      <c:layout>
        <c:manualLayout>
          <c:xMode val="edge"/>
          <c:yMode val="edge"/>
          <c:x val="0.10932633420822434"/>
          <c:y val="2.768166089965416E-2"/>
        </c:manualLayout>
      </c:layout>
    </c:title>
    <c:plotArea>
      <c:layout/>
      <c:scatterChart>
        <c:scatterStyle val="lineMarker"/>
        <c:ser>
          <c:idx val="0"/>
          <c:order val="0"/>
          <c:tx>
            <c:strRef>
              <c:f>'Teacher pay scales'!$D$39</c:f>
              <c:strCache>
                <c:ptCount val="1"/>
              </c:strCache>
            </c:strRef>
          </c:tx>
          <c:marker>
            <c:symbol val="none"/>
          </c:marker>
          <c:xVal>
            <c:numRef>
              <c:f>'Teacher pay scales'!$C$43:$C$56</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xVal>
          <c:yVal>
            <c:numRef>
              <c:f>'Teacher pay scales'!$D$43:$D$56</c:f>
              <c:numCache>
                <c:formatCode>"$"#,##0_);[Red]\("$"#,##0\)</c:formatCode>
                <c:ptCount val="14"/>
                <c:pt idx="0">
                  <c:v>39184</c:v>
                </c:pt>
                <c:pt idx="1">
                  <c:v>39017</c:v>
                </c:pt>
                <c:pt idx="2">
                  <c:v>46723</c:v>
                </c:pt>
                <c:pt idx="3">
                  <c:v>51946</c:v>
                </c:pt>
                <c:pt idx="4">
                  <c:v>51771</c:v>
                </c:pt>
                <c:pt idx="5">
                  <c:v>54813</c:v>
                </c:pt>
                <c:pt idx="6">
                  <c:v>57524</c:v>
                </c:pt>
                <c:pt idx="7">
                  <c:v>57524</c:v>
                </c:pt>
                <c:pt idx="8">
                  <c:v>57524</c:v>
                </c:pt>
                <c:pt idx="9">
                  <c:v>59783</c:v>
                </c:pt>
                <c:pt idx="10">
                  <c:v>62750.400000000001</c:v>
                </c:pt>
                <c:pt idx="11">
                  <c:v>63578.111111111109</c:v>
                </c:pt>
                <c:pt idx="12">
                  <c:v>66734</c:v>
                </c:pt>
                <c:pt idx="13">
                  <c:v>71125</c:v>
                </c:pt>
              </c:numCache>
            </c:numRef>
          </c:yVal>
        </c:ser>
        <c:axId val="221292032"/>
        <c:axId val="221293952"/>
      </c:scatterChart>
      <c:valAx>
        <c:axId val="221292032"/>
        <c:scaling>
          <c:orientation val="minMax"/>
          <c:min val="2000"/>
        </c:scaling>
        <c:axPos val="b"/>
        <c:majorGridlines/>
        <c:title>
          <c:tx>
            <c:rich>
              <a:bodyPr/>
              <a:lstStyle/>
              <a:p>
                <a:pPr>
                  <a:defRPr/>
                </a:pPr>
                <a:r>
                  <a:rPr lang="en-US"/>
                  <a:t>Fiscal year</a:t>
                </a:r>
              </a:p>
            </c:rich>
          </c:tx>
          <c:layout/>
        </c:title>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21293952"/>
        <c:crosses val="autoZero"/>
        <c:crossBetween val="midCat"/>
      </c:valAx>
      <c:valAx>
        <c:axId val="221293952"/>
        <c:scaling>
          <c:orientation val="minMax"/>
        </c:scaling>
        <c:axPos val="l"/>
        <c:majorGridlines/>
        <c:numFmt formatCode="&quot;$&quot;#,##0_);[Red]\(&quot;$&quot;#,##0\)" sourceLinked="1"/>
        <c:tickLblPos val="nextTo"/>
        <c:crossAx val="221292032"/>
        <c:crosses val="autoZero"/>
        <c:crossBetween val="midCat"/>
      </c:valAx>
    </c:plotArea>
    <c:plotVisOnly val="1"/>
    <c:dispBlanksAs val="gap"/>
  </c:chart>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'Derived data'!$A$19</c:f>
              <c:strCache>
                <c:ptCount val="1"/>
                <c:pt idx="0">
                  <c:v>     Students per classroom teacher</c:v>
                </c:pt>
              </c:strCache>
            </c:strRef>
          </c:tx>
          <c:trendline>
            <c:trendlineType val="linear"/>
          </c:trendline>
          <c:xVal>
            <c:numRef>
              <c:f>'Derived data'!$C$6:$S$6</c:f>
              <c:numCache>
                <c:formatCode>0</c:formatCode>
                <c:ptCount val="17"/>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numCache>
            </c:numRef>
          </c:xVal>
          <c:yVal>
            <c:numRef>
              <c:f>'Derived data'!$C$19:$S$19</c:f>
              <c:numCache>
                <c:formatCode>0.0</c:formatCode>
                <c:ptCount val="17"/>
                <c:pt idx="0">
                  <c:v>19.616597684287736</c:v>
                </c:pt>
                <c:pt idx="1">
                  <c:v>19.673097590751155</c:v>
                </c:pt>
                <c:pt idx="2">
                  <c:v>19.94777705394235</c:v>
                </c:pt>
                <c:pt idx="3">
                  <c:v>19.235275043670178</c:v>
                </c:pt>
                <c:pt idx="4">
                  <c:v>19.19730139060994</c:v>
                </c:pt>
                <c:pt idx="5">
                  <c:v>19.646639207588425</c:v>
                </c:pt>
                <c:pt idx="6">
                  <c:v>20.01750772399588</c:v>
                </c:pt>
                <c:pt idx="7">
                  <c:v>20.068567304222306</c:v>
                </c:pt>
                <c:pt idx="8">
                  <c:v>19.930171866550676</c:v>
                </c:pt>
                <c:pt idx="9">
                  <c:v>19.603121279630347</c:v>
                </c:pt>
                <c:pt idx="10">
                  <c:v>19.505039724890313</c:v>
                </c:pt>
                <c:pt idx="11">
                  <c:v>19.862412496524044</c:v>
                </c:pt>
                <c:pt idx="12">
                  <c:v>19.813205750852624</c:v>
                </c:pt>
                <c:pt idx="13">
                  <c:v>20.830056072869358</c:v>
                </c:pt>
                <c:pt idx="14">
                  <c:v>21.272833799882822</c:v>
                </c:pt>
                <c:pt idx="15">
                  <c:v>21.511403169694628</c:v>
                </c:pt>
                <c:pt idx="16">
                  <c:v>21.390877894566188</c:v>
                </c:pt>
              </c:numCache>
            </c:numRef>
          </c:yVal>
        </c:ser>
        <c:ser>
          <c:idx val="1"/>
          <c:order val="1"/>
          <c:tx>
            <c:strRef>
              <c:f>'Derived data'!$A$18</c:f>
              <c:strCache>
                <c:ptCount val="1"/>
                <c:pt idx="0">
                  <c:v>     students/teacher, adjusted for ESOL, FRM, and SpEd</c:v>
                </c:pt>
              </c:strCache>
            </c:strRef>
          </c:tx>
          <c:marker>
            <c:symbol val="square"/>
            <c:size val="4"/>
          </c:marker>
          <c:trendline>
            <c:trendlineType val="linear"/>
          </c:trendline>
          <c:xVal>
            <c:numRef>
              <c:f>'Derived data'!$C$6:$S$6</c:f>
              <c:numCache>
                <c:formatCode>0</c:formatCode>
                <c:ptCount val="17"/>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numCache>
            </c:numRef>
          </c:xVal>
          <c:yVal>
            <c:numRef>
              <c:f>'Derived data'!$C$18:$S$18</c:f>
              <c:numCache>
                <c:formatCode>0.0</c:formatCode>
                <c:ptCount val="17"/>
                <c:pt idx="0">
                  <c:v>15.649029344150986</c:v>
                </c:pt>
                <c:pt idx="1">
                  <c:v>15.872804500814555</c:v>
                </c:pt>
                <c:pt idx="2">
                  <c:v>16.04570001077354</c:v>
                </c:pt>
                <c:pt idx="3">
                  <c:v>15.627219803989641</c:v>
                </c:pt>
                <c:pt idx="4">
                  <c:v>15.669999898108211</c:v>
                </c:pt>
                <c:pt idx="5">
                  <c:v>15.724542293108385</c:v>
                </c:pt>
                <c:pt idx="6">
                  <c:v>15.731169740424891</c:v>
                </c:pt>
                <c:pt idx="7">
                  <c:v>15.649907537666468</c:v>
                </c:pt>
                <c:pt idx="8">
                  <c:v>15.370547265855414</c:v>
                </c:pt>
                <c:pt idx="9">
                  <c:v>15.091402193171131</c:v>
                </c:pt>
                <c:pt idx="10">
                  <c:v>15.061355360110598</c:v>
                </c:pt>
                <c:pt idx="11">
                  <c:v>14.956412397552304</c:v>
                </c:pt>
                <c:pt idx="12">
                  <c:v>14.954916080609893</c:v>
                </c:pt>
                <c:pt idx="13">
                  <c:v>15.104433255602954</c:v>
                </c:pt>
                <c:pt idx="14">
                  <c:v>15.259380530973448</c:v>
                </c:pt>
                <c:pt idx="15">
                  <c:v>15.044424299123229</c:v>
                </c:pt>
                <c:pt idx="16">
                  <c:v>15.046069129216383</c:v>
                </c:pt>
              </c:numCache>
            </c:numRef>
          </c:yVal>
        </c:ser>
        <c:ser>
          <c:idx val="9"/>
          <c:order val="2"/>
          <c:tx>
            <c:strRef>
              <c:f>'Derived data'!$A$17</c:f>
              <c:strCache>
                <c:ptCount val="1"/>
                <c:pt idx="0">
                  <c:v>Ratio: students/teachers</c:v>
                </c:pt>
              </c:strCache>
            </c:strRef>
          </c:tx>
          <c:trendline>
            <c:trendlineType val="linear"/>
          </c:trendline>
          <c:xVal>
            <c:numRef>
              <c:f>'Derived data'!$C$6:$S$6</c:f>
              <c:numCache>
                <c:formatCode>0</c:formatCode>
                <c:ptCount val="17"/>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numCache>
            </c:numRef>
          </c:xVal>
          <c:yVal>
            <c:numRef>
              <c:f>'Derived data'!$C$17:$S$17</c:f>
              <c:numCache>
                <c:formatCode>0.0</c:formatCode>
                <c:ptCount val="17"/>
                <c:pt idx="0">
                  <c:v>12.260293260509375</c:v>
                </c:pt>
                <c:pt idx="1">
                  <c:v>12.43561078243205</c:v>
                </c:pt>
                <c:pt idx="2">
                  <c:v>12.577098146951087</c:v>
                </c:pt>
                <c:pt idx="3">
                  <c:v>12.277018185702461</c:v>
                </c:pt>
                <c:pt idx="4">
                  <c:v>12.31253608667595</c:v>
                </c:pt>
                <c:pt idx="5">
                  <c:v>12.424181057659405</c:v>
                </c:pt>
                <c:pt idx="6">
                  <c:v>12.568019024491878</c:v>
                </c:pt>
                <c:pt idx="7">
                  <c:v>12.565765975902211</c:v>
                </c:pt>
                <c:pt idx="8">
                  <c:v>12.346288568952586</c:v>
                </c:pt>
                <c:pt idx="9">
                  <c:v>12.125655290077503</c:v>
                </c:pt>
                <c:pt idx="10">
                  <c:v>12.095803979821453</c:v>
                </c:pt>
                <c:pt idx="11">
                  <c:v>12.097407235587369</c:v>
                </c:pt>
                <c:pt idx="12">
                  <c:v>12.145263282311921</c:v>
                </c:pt>
                <c:pt idx="13">
                  <c:v>12.31151634212361</c:v>
                </c:pt>
                <c:pt idx="14">
                  <c:v>12.496921394206865</c:v>
                </c:pt>
                <c:pt idx="15">
                  <c:v>12.477771420618843</c:v>
                </c:pt>
                <c:pt idx="16">
                  <c:v>12.569244325894879</c:v>
                </c:pt>
              </c:numCache>
            </c:numRef>
          </c:yVal>
        </c:ser>
        <c:axId val="182932608"/>
        <c:axId val="182934528"/>
      </c:scatterChart>
      <c:valAx>
        <c:axId val="182932608"/>
        <c:scaling>
          <c:orientation val="minMax"/>
        </c:scaling>
        <c:axPos val="b"/>
        <c:majorGridlines/>
        <c:title>
          <c:tx>
            <c:rich>
              <a:bodyPr/>
              <a:lstStyle/>
              <a:p>
                <a:pPr>
                  <a:defRPr/>
                </a:pPr>
                <a:r>
                  <a:rPr lang="en-US"/>
                  <a:t>Fiscal Year</a:t>
                </a:r>
              </a:p>
            </c:rich>
          </c:tx>
          <c:layout/>
        </c:title>
        <c:numFmt formatCode="0" sourceLinked="1"/>
        <c:tickLblPos val="nextTo"/>
        <c:crossAx val="182934528"/>
        <c:crosses val="autoZero"/>
        <c:crossBetween val="midCat"/>
      </c:valAx>
      <c:valAx>
        <c:axId val="182934528"/>
        <c:scaling>
          <c:orientation val="minMax"/>
        </c:scaling>
        <c:axPos val="l"/>
        <c:majorGridlines/>
        <c:numFmt formatCode="0.0" sourceLinked="1"/>
        <c:tickLblPos val="nextTo"/>
        <c:crossAx val="182932608"/>
        <c:crosses val="autoZero"/>
        <c:crossBetween val="midCat"/>
      </c:valAx>
    </c:plotArea>
    <c:legend>
      <c:legendPos val="r"/>
      <c:legendEntry>
        <c:idx val="3"/>
        <c:delete val="1"/>
      </c:legendEntry>
      <c:legendEntry>
        <c:idx val="4"/>
        <c:delete val="1"/>
      </c:legendEntry>
      <c:legendEntry>
        <c:idx val="5"/>
        <c:delete val="1"/>
      </c:legendEntry>
      <c:layout/>
    </c:legend>
    <c:plotVisOnly val="1"/>
  </c:chart>
  <c:printSettings>
    <c:headerFooter/>
    <c:pageMargins b="0.750000000000005" l="0.70000000000000062" r="0.70000000000000062" t="0.75000000000000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a:t>Salary Scale for Teaches with Masters Degree</a:t>
            </a:r>
          </a:p>
        </c:rich>
      </c:tx>
      <c:layout/>
    </c:title>
    <c:plotArea>
      <c:layout/>
      <c:scatterChart>
        <c:scatterStyle val="lineMarker"/>
        <c:ser>
          <c:idx val="0"/>
          <c:order val="0"/>
          <c:tx>
            <c:strRef>
              <c:f>'Teacher pay scales'!$F$3</c:f>
              <c:strCache>
                <c:ptCount val="1"/>
                <c:pt idx="0">
                  <c:v>FY2005 (2005$)</c:v>
                </c:pt>
              </c:strCache>
            </c:strRef>
          </c:tx>
          <c:spPr>
            <a:ln>
              <a:noFill/>
            </a:ln>
          </c:spPr>
          <c:marker>
            <c:spPr>
              <a:solidFill>
                <a:srgbClr val="4F81BD"/>
              </a:solidFill>
            </c:spPr>
          </c:marker>
          <c:xVal>
            <c:numRef>
              <c:f>'Teacher pay scales'!$A$6:$A$27</c:f>
              <c:numCache>
                <c:formatCode>General</c:formatCode>
                <c:ptCount val="2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numCache>
            </c:numRef>
          </c:xVal>
          <c:yVal>
            <c:numRef>
              <c:f>'Teacher pay scales'!$F$6:$F$27</c:f>
              <c:numCache>
                <c:formatCode>"$"#,##0_);[Red]\("$"#,##0\)</c:formatCode>
                <c:ptCount val="22"/>
                <c:pt idx="0">
                  <c:v>44505</c:v>
                </c:pt>
                <c:pt idx="1">
                  <c:v>45118</c:v>
                </c:pt>
                <c:pt idx="2">
                  <c:v>46723</c:v>
                </c:pt>
                <c:pt idx="3">
                  <c:v>48389</c:v>
                </c:pt>
                <c:pt idx="4">
                  <c:v>50124</c:v>
                </c:pt>
                <c:pt idx="5">
                  <c:v>51925</c:v>
                </c:pt>
                <c:pt idx="6">
                  <c:v>53802</c:v>
                </c:pt>
                <c:pt idx="7">
                  <c:v>55754</c:v>
                </c:pt>
                <c:pt idx="8">
                  <c:v>57782</c:v>
                </c:pt>
                <c:pt idx="9">
                  <c:v>59681</c:v>
                </c:pt>
                <c:pt idx="10">
                  <c:v>61649</c:v>
                </c:pt>
                <c:pt idx="11">
                  <c:v>63687</c:v>
                </c:pt>
                <c:pt idx="12">
                  <c:v>65798</c:v>
                </c:pt>
                <c:pt idx="13">
                  <c:v>67742</c:v>
                </c:pt>
                <c:pt idx="14">
                  <c:v>69749</c:v>
                </c:pt>
                <c:pt idx="15">
                  <c:v>71820</c:v>
                </c:pt>
                <c:pt idx="16">
                  <c:v>73957</c:v>
                </c:pt>
                <c:pt idx="17">
                  <c:v>76163</c:v>
                </c:pt>
                <c:pt idx="18">
                  <c:v>78438</c:v>
                </c:pt>
                <c:pt idx="19">
                  <c:v>80787</c:v>
                </c:pt>
              </c:numCache>
            </c:numRef>
          </c:yVal>
        </c:ser>
        <c:ser>
          <c:idx val="1"/>
          <c:order val="1"/>
          <c:tx>
            <c:strRef>
              <c:f>'Teacher pay scales'!$AA$3</c:f>
              <c:strCache>
                <c:ptCount val="1"/>
                <c:pt idx="0">
                  <c:v>FY2015 (2015$)</c:v>
                </c:pt>
              </c:strCache>
            </c:strRef>
          </c:tx>
          <c:marker>
            <c:symbol val="none"/>
          </c:marker>
          <c:xVal>
            <c:numRef>
              <c:f>'Teacher pay scales'!$Z$6:$Z$33</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25</c:v>
                </c:pt>
                <c:pt idx="25">
                  <c:v>27</c:v>
                </c:pt>
                <c:pt idx="26">
                  <c:v>29</c:v>
                </c:pt>
              </c:numCache>
            </c:numRef>
          </c:xVal>
          <c:yVal>
            <c:numRef>
              <c:f>'Teacher pay scales'!$AA$6:$AA$32</c:f>
              <c:numCache>
                <c:formatCode>"$"#,##0_);[Red]\("$"#,##0\)</c:formatCode>
                <c:ptCount val="27"/>
                <c:pt idx="0">
                  <c:v>52530</c:v>
                </c:pt>
                <c:pt idx="1">
                  <c:v>53307</c:v>
                </c:pt>
                <c:pt idx="2">
                  <c:v>54159</c:v>
                </c:pt>
                <c:pt idx="3">
                  <c:v>54586</c:v>
                </c:pt>
                <c:pt idx="4">
                  <c:v>55025</c:v>
                </c:pt>
                <c:pt idx="5">
                  <c:v>55957</c:v>
                </c:pt>
                <c:pt idx="6">
                  <c:v>56957</c:v>
                </c:pt>
                <c:pt idx="7">
                  <c:v>58079</c:v>
                </c:pt>
                <c:pt idx="8">
                  <c:v>59591</c:v>
                </c:pt>
                <c:pt idx="9">
                  <c:v>61253</c:v>
                </c:pt>
                <c:pt idx="10">
                  <c:v>63023</c:v>
                </c:pt>
                <c:pt idx="11">
                  <c:v>64850</c:v>
                </c:pt>
                <c:pt idx="12">
                  <c:v>66734</c:v>
                </c:pt>
                <c:pt idx="13">
                  <c:v>68679</c:v>
                </c:pt>
                <c:pt idx="14">
                  <c:v>70687</c:v>
                </c:pt>
                <c:pt idx="15">
                  <c:v>72757</c:v>
                </c:pt>
                <c:pt idx="16">
                  <c:v>74895</c:v>
                </c:pt>
                <c:pt idx="17">
                  <c:v>77101</c:v>
                </c:pt>
                <c:pt idx="18">
                  <c:v>79377</c:v>
                </c:pt>
                <c:pt idx="19">
                  <c:v>81728</c:v>
                </c:pt>
                <c:pt idx="20">
                  <c:v>84151</c:v>
                </c:pt>
                <c:pt idx="21">
                  <c:v>86654</c:v>
                </c:pt>
                <c:pt idx="22">
                  <c:v>89237</c:v>
                </c:pt>
                <c:pt idx="23">
                  <c:v>91914</c:v>
                </c:pt>
                <c:pt idx="24">
                  <c:v>93637</c:v>
                </c:pt>
                <c:pt idx="25">
                  <c:v>95395</c:v>
                </c:pt>
                <c:pt idx="26">
                  <c:v>97188</c:v>
                </c:pt>
              </c:numCache>
            </c:numRef>
          </c:yVal>
        </c:ser>
        <c:axId val="221305856"/>
        <c:axId val="221344896"/>
      </c:scatterChart>
      <c:valAx>
        <c:axId val="221305856"/>
        <c:scaling>
          <c:orientation val="minMax"/>
        </c:scaling>
        <c:axPos val="b"/>
        <c:majorGridlines/>
        <c:title>
          <c:tx>
            <c:rich>
              <a:bodyPr/>
              <a:lstStyle/>
              <a:p>
                <a:pPr>
                  <a:defRPr/>
                </a:pPr>
                <a:r>
                  <a:rPr lang="en-US"/>
                  <a:t>Step number (approximately equal to years of experience)</a:t>
                </a:r>
              </a:p>
            </c:rich>
          </c:tx>
          <c:layout/>
        </c:title>
        <c:numFmt formatCode="General" sourceLinked="1"/>
        <c:tickLblPos val="nextTo"/>
        <c:crossAx val="221344896"/>
        <c:crosses val="autoZero"/>
        <c:crossBetween val="midCat"/>
      </c:valAx>
      <c:valAx>
        <c:axId val="221344896"/>
        <c:scaling>
          <c:orientation val="minMax"/>
        </c:scaling>
        <c:axPos val="l"/>
        <c:majorGridlines/>
        <c:numFmt formatCode="&quot;$&quot;#,##0_);[Red]\(&quot;$&quot;#,##0\)" sourceLinked="1"/>
        <c:tickLblPos val="nextTo"/>
        <c:crossAx val="221305856"/>
        <c:crosses val="autoZero"/>
        <c:crossBetween val="midCat"/>
      </c:valAx>
    </c:plotArea>
    <c:legend>
      <c:legendPos val="r"/>
      <c:layout/>
    </c:legend>
    <c:plotVisOnly val="1"/>
  </c:chart>
  <c:printSettings>
    <c:headerFooter/>
    <c:pageMargins b="0.75000000000000544" l="0.70000000000000062" r="0.70000000000000062" t="0.750000000000005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6"/>
          <c:order val="0"/>
          <c:marker>
            <c:symbol val="none"/>
          </c:marker>
          <c:xVal>
            <c:numRef>
              <c:f>'Teacher pay scales'!$W$7:$W$32</c:f>
              <c:numCache>
                <c:formatCode>General</c:formatCod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25</c:v>
                </c:pt>
                <c:pt idx="24">
                  <c:v>27</c:v>
                </c:pt>
                <c:pt idx="25">
                  <c:v>29</c:v>
                </c:pt>
              </c:numCache>
            </c:numRef>
          </c:xVal>
          <c:yVal>
            <c:numRef>
              <c:f>'Teacher pay scales'!$AG$7:$AG$32</c:f>
              <c:numCache>
                <c:formatCode>0.00%</c:formatCode>
                <c:ptCount val="26"/>
                <c:pt idx="0">
                  <c:v>1.4791547687035944E-2</c:v>
                </c:pt>
                <c:pt idx="1">
                  <c:v>1.5982891552704048E-2</c:v>
                </c:pt>
                <c:pt idx="2">
                  <c:v>7.8841928396018446E-3</c:v>
                </c:pt>
                <c:pt idx="3">
                  <c:v>8.0423551826476203E-3</c:v>
                </c:pt>
                <c:pt idx="4">
                  <c:v>1.6937755565652024E-2</c:v>
                </c:pt>
                <c:pt idx="5">
                  <c:v>1.7870865128580826E-2</c:v>
                </c:pt>
                <c:pt idx="6">
                  <c:v>1.9699071229172915E-2</c:v>
                </c:pt>
                <c:pt idx="7">
                  <c:v>2.6033506086537317E-2</c:v>
                </c:pt>
                <c:pt idx="8">
                  <c:v>2.7890117635213318E-2</c:v>
                </c:pt>
                <c:pt idx="9">
                  <c:v>2.8896543842750644E-2</c:v>
                </c:pt>
                <c:pt idx="10">
                  <c:v>2.8989416562207548E-2</c:v>
                </c:pt>
                <c:pt idx="11">
                  <c:v>2.9051657671549824E-2</c:v>
                </c:pt>
                <c:pt idx="12">
                  <c:v>2.9145562981388817E-2</c:v>
                </c:pt>
                <c:pt idx="13">
                  <c:v>2.9237467056887789E-2</c:v>
                </c:pt>
                <c:pt idx="14">
                  <c:v>2.9284026765883375E-2</c:v>
                </c:pt>
                <c:pt idx="15">
                  <c:v>2.9385488681501482E-2</c:v>
                </c:pt>
                <c:pt idx="16">
                  <c:v>2.9454569730956726E-2</c:v>
                </c:pt>
                <c:pt idx="17">
                  <c:v>2.9519720885591516E-2</c:v>
                </c:pt>
                <c:pt idx="18">
                  <c:v>2.9618151353666633E-2</c:v>
                </c:pt>
                <c:pt idx="19">
                  <c:v>2.9647122161315487E-2</c:v>
                </c:pt>
                <c:pt idx="20">
                  <c:v>2.9744150396311397E-2</c:v>
                </c:pt>
                <c:pt idx="21">
                  <c:v>2.9808202737323208E-2</c:v>
                </c:pt>
                <c:pt idx="22">
                  <c:v>2.9998767327453768E-2</c:v>
                </c:pt>
                <c:pt idx="23">
                  <c:v>1.8745784102530694E-2</c:v>
                </c:pt>
                <c:pt idx="24">
                  <c:v>1.8774629686982625E-2</c:v>
                </c:pt>
                <c:pt idx="25">
                  <c:v>1.8795534357146648E-2</c:v>
                </c:pt>
              </c:numCache>
            </c:numRef>
          </c:yVal>
        </c:ser>
        <c:axId val="230817792"/>
        <c:axId val="230819712"/>
      </c:scatterChart>
      <c:valAx>
        <c:axId val="230817792"/>
        <c:scaling>
          <c:orientation val="minMax"/>
        </c:scaling>
        <c:axPos val="b"/>
        <c:majorGridlines/>
        <c:title>
          <c:tx>
            <c:rich>
              <a:bodyPr/>
              <a:lstStyle/>
              <a:p>
                <a:pPr>
                  <a:defRPr/>
                </a:pPr>
                <a:r>
                  <a:rPr lang="en-US"/>
                  <a:t>Step after promotion</a:t>
                </a:r>
              </a:p>
            </c:rich>
          </c:tx>
        </c:title>
        <c:numFmt formatCode="General" sourceLinked="1"/>
        <c:tickLblPos val="nextTo"/>
        <c:crossAx val="230819712"/>
        <c:crosses val="autoZero"/>
        <c:crossBetween val="midCat"/>
      </c:valAx>
      <c:valAx>
        <c:axId val="230819712"/>
        <c:scaling>
          <c:orientation val="minMax"/>
        </c:scaling>
        <c:axPos val="l"/>
        <c:majorGridlines/>
        <c:title>
          <c:tx>
            <c:rich>
              <a:bodyPr rot="-5400000" vert="horz"/>
              <a:lstStyle/>
              <a:p>
                <a:pPr>
                  <a:defRPr/>
                </a:pPr>
                <a:r>
                  <a:rPr lang="en-US"/>
                  <a:t>Percent salary increase with step</a:t>
                </a:r>
              </a:p>
            </c:rich>
          </c:tx>
        </c:title>
        <c:numFmt formatCode="0.0%" sourceLinked="0"/>
        <c:tickLblPos val="nextTo"/>
        <c:crossAx val="230817792"/>
        <c:crosses val="autoZero"/>
        <c:crossBetween val="midCat"/>
      </c:valAx>
    </c:plotArea>
    <c:plotVisOnly val="1"/>
  </c:chart>
  <c:printSettings>
    <c:headerFooter/>
    <c:pageMargins b="0.750000000000004" l="0.70000000000000062" r="0.70000000000000062" t="0.75000000000000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'Vs other districts'!$B$17</c:f>
              <c:strCache>
                <c:ptCount val="1"/>
                <c:pt idx="0">
                  <c:v>Alexandria City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districts'!$C$17:$Q$17</c:f>
              <c:numCache>
                <c:formatCode>0</c:formatCode>
                <c:ptCount val="15"/>
                <c:pt idx="0">
                  <c:v>63866.192444444445</c:v>
                </c:pt>
                <c:pt idx="1">
                  <c:v>62575.956250000003</c:v>
                </c:pt>
                <c:pt idx="2">
                  <c:v>65053.652083333334</c:v>
                </c:pt>
                <c:pt idx="3">
                  <c:v>74040.612666666668</c:v>
                </c:pt>
                <c:pt idx="4">
                  <c:v>72583.727791666664</c:v>
                </c:pt>
                <c:pt idx="5">
                  <c:v>79582.492166666663</c:v>
                </c:pt>
                <c:pt idx="6">
                  <c:v>83187.471733333339</c:v>
                </c:pt>
                <c:pt idx="7">
                  <c:v>85270.042799999996</c:v>
                </c:pt>
                <c:pt idx="8">
                  <c:v>97631.248800000001</c:v>
                </c:pt>
                <c:pt idx="9">
                  <c:v>99123.839999999997</c:v>
                </c:pt>
                <c:pt idx="10">
                  <c:v>99653.659499999994</c:v>
                </c:pt>
                <c:pt idx="11">
                  <c:v>99766.597999999998</c:v>
                </c:pt>
                <c:pt idx="12" formatCode="General">
                  <c:v>102596</c:v>
                </c:pt>
                <c:pt idx="13" formatCode="General">
                  <c:v>108510</c:v>
                </c:pt>
                <c:pt idx="14" formatCode="General">
                  <c:v>112256</c:v>
                </c:pt>
              </c:numCache>
            </c:numRef>
          </c:yVal>
        </c:ser>
        <c:ser>
          <c:idx val="1"/>
          <c:order val="1"/>
          <c:tx>
            <c:strRef>
              <c:f>'Vs other districts'!$B$18</c:f>
              <c:strCache>
                <c:ptCount val="1"/>
                <c:pt idx="0">
                  <c:v>Arlington County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districts'!$C$18:$Q$18</c:f>
              <c:numCache>
                <c:formatCode>0</c:formatCode>
                <c:ptCount val="15"/>
                <c:pt idx="0">
                  <c:v>64967.380799999999</c:v>
                </c:pt>
                <c:pt idx="1">
                  <c:v>68087.099791666667</c:v>
                </c:pt>
                <c:pt idx="2">
                  <c:v>69168.66091666666</c:v>
                </c:pt>
                <c:pt idx="3">
                  <c:v>74001.161999999997</c:v>
                </c:pt>
                <c:pt idx="4">
                  <c:v>77409.726708333328</c:v>
                </c:pt>
                <c:pt idx="5">
                  <c:v>87360.262937499996</c:v>
                </c:pt>
                <c:pt idx="6">
                  <c:v>92193.141749999995</c:v>
                </c:pt>
                <c:pt idx="7">
                  <c:v>98695.985400000005</c:v>
                </c:pt>
                <c:pt idx="8">
                  <c:v>103918.76880000001</c:v>
                </c:pt>
                <c:pt idx="9">
                  <c:v>104837.0123</c:v>
                </c:pt>
                <c:pt idx="10">
                  <c:v>104823.50810000001</c:v>
                </c:pt>
                <c:pt idx="11">
                  <c:v>100974.9206</c:v>
                </c:pt>
                <c:pt idx="12" formatCode="General">
                  <c:v>99801</c:v>
                </c:pt>
                <c:pt idx="13" formatCode="General">
                  <c:v>101885</c:v>
                </c:pt>
                <c:pt idx="14" formatCode="General">
                  <c:v>107603</c:v>
                </c:pt>
              </c:numCache>
            </c:numRef>
          </c:yVal>
        </c:ser>
        <c:ser>
          <c:idx val="2"/>
          <c:order val="2"/>
          <c:tx>
            <c:strRef>
              <c:f>'Vs other districts'!$B$19</c:f>
              <c:strCache>
                <c:ptCount val="1"/>
                <c:pt idx="0">
                  <c:v>Fairfax County</c:v>
                </c:pt>
              </c:strCache>
            </c:strRef>
          </c:tx>
          <c:marker>
            <c:symbol val="square"/>
            <c:size val="5"/>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districts'!$C$19:$Q$19</c:f>
              <c:numCache>
                <c:formatCode>0</c:formatCode>
                <c:ptCount val="15"/>
                <c:pt idx="0">
                  <c:v>64827.556466666669</c:v>
                </c:pt>
                <c:pt idx="1">
                  <c:v>63831.6875</c:v>
                </c:pt>
                <c:pt idx="2">
                  <c:v>65989.250708333333</c:v>
                </c:pt>
                <c:pt idx="3">
                  <c:v>68471.68816666666</c:v>
                </c:pt>
                <c:pt idx="4">
                  <c:v>71809.438750000001</c:v>
                </c:pt>
                <c:pt idx="5">
                  <c:v>80552.463000000003</c:v>
                </c:pt>
                <c:pt idx="6">
                  <c:v>83627.215800000005</c:v>
                </c:pt>
                <c:pt idx="7">
                  <c:v>89358.32683333334</c:v>
                </c:pt>
                <c:pt idx="8">
                  <c:v>92231.327799999999</c:v>
                </c:pt>
                <c:pt idx="9">
                  <c:v>94354.606499999994</c:v>
                </c:pt>
                <c:pt idx="10">
                  <c:v>92007.684299999994</c:v>
                </c:pt>
                <c:pt idx="11">
                  <c:v>88374.499500000005</c:v>
                </c:pt>
                <c:pt idx="12" formatCode="General">
                  <c:v>89871</c:v>
                </c:pt>
                <c:pt idx="13" formatCode="General">
                  <c:v>95152</c:v>
                </c:pt>
                <c:pt idx="14" formatCode="General">
                  <c:v>97579</c:v>
                </c:pt>
              </c:numCache>
            </c:numRef>
          </c:yVal>
        </c:ser>
        <c:ser>
          <c:idx val="3"/>
          <c:order val="3"/>
          <c:tx>
            <c:strRef>
              <c:f>'Vs other districts'!$B$20</c:f>
              <c:strCache>
                <c:ptCount val="1"/>
                <c:pt idx="0">
                  <c:v>Falls Church City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districts'!$C$20:$Q$20</c:f>
              <c:numCache>
                <c:formatCode>0</c:formatCode>
                <c:ptCount val="15"/>
                <c:pt idx="0">
                  <c:v>63216.542999999998</c:v>
                </c:pt>
                <c:pt idx="1">
                  <c:v>64732.1035625</c:v>
                </c:pt>
                <c:pt idx="2">
                  <c:v>64734.904062499998</c:v>
                </c:pt>
                <c:pt idx="3">
                  <c:v>65764.035000000003</c:v>
                </c:pt>
                <c:pt idx="4">
                  <c:v>72010.139687500006</c:v>
                </c:pt>
                <c:pt idx="5">
                  <c:v>77415.282000000007</c:v>
                </c:pt>
                <c:pt idx="6">
                  <c:v>80611.31286666666</c:v>
                </c:pt>
                <c:pt idx="7">
                  <c:v>86320.045666666672</c:v>
                </c:pt>
                <c:pt idx="8">
                  <c:v>91894.828333333338</c:v>
                </c:pt>
                <c:pt idx="9">
                  <c:v>90809.627999999997</c:v>
                </c:pt>
                <c:pt idx="10">
                  <c:v>95044.175499999998</c:v>
                </c:pt>
                <c:pt idx="11">
                  <c:v>89285.923500000004</c:v>
                </c:pt>
                <c:pt idx="12" formatCode="General">
                  <c:v>89642</c:v>
                </c:pt>
                <c:pt idx="13" formatCode="General">
                  <c:v>93193</c:v>
                </c:pt>
                <c:pt idx="14" formatCode="General">
                  <c:v>93174</c:v>
                </c:pt>
              </c:numCache>
            </c:numRef>
          </c:yVal>
        </c:ser>
        <c:ser>
          <c:idx val="4"/>
          <c:order val="4"/>
          <c:tx>
            <c:strRef>
              <c:f>'Vs other districts'!$B$21</c:f>
              <c:strCache>
                <c:ptCount val="1"/>
                <c:pt idx="0">
                  <c:v>Loudoun County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districts'!$C$21:$Q$21</c:f>
              <c:numCache>
                <c:formatCode>0</c:formatCode>
                <c:ptCount val="15"/>
                <c:pt idx="0">
                  <c:v>56102.908133333331</c:v>
                </c:pt>
                <c:pt idx="1">
                  <c:v>59892.512499999997</c:v>
                </c:pt>
                <c:pt idx="2">
                  <c:v>67054.66091666666</c:v>
                </c:pt>
                <c:pt idx="3">
                  <c:v>69869.540812499996</c:v>
                </c:pt>
                <c:pt idx="4">
                  <c:v>68580.625208333338</c:v>
                </c:pt>
                <c:pt idx="5">
                  <c:v>77178.315000000002</c:v>
                </c:pt>
                <c:pt idx="6">
                  <c:v>77771.00973333334</c:v>
                </c:pt>
                <c:pt idx="7">
                  <c:v>82886.785999999993</c:v>
                </c:pt>
                <c:pt idx="8">
                  <c:v>88233.868799999997</c:v>
                </c:pt>
                <c:pt idx="9">
                  <c:v>86230.965333333326</c:v>
                </c:pt>
                <c:pt idx="10">
                  <c:v>85756.121533333338</c:v>
                </c:pt>
                <c:pt idx="11">
                  <c:v>81778.564799999993</c:v>
                </c:pt>
                <c:pt idx="12" formatCode="General">
                  <c:v>86690</c:v>
                </c:pt>
                <c:pt idx="13" formatCode="General">
                  <c:v>89628</c:v>
                </c:pt>
                <c:pt idx="14" formatCode="General">
                  <c:v>92589</c:v>
                </c:pt>
              </c:numCache>
            </c:numRef>
          </c:yVal>
        </c:ser>
        <c:ser>
          <c:idx val="5"/>
          <c:order val="5"/>
          <c:tx>
            <c:strRef>
              <c:f>'Vs other districts'!$B$22</c:f>
              <c:strCache>
                <c:ptCount val="1"/>
                <c:pt idx="0">
                  <c:v>Manassas City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districts'!$C$22:$Q$22</c:f>
              <c:numCache>
                <c:formatCode>0</c:formatCode>
                <c:ptCount val="15"/>
                <c:pt idx="0">
                  <c:v>54861.373111111112</c:v>
                </c:pt>
                <c:pt idx="1">
                  <c:v>56746.460833333331</c:v>
                </c:pt>
                <c:pt idx="2">
                  <c:v>59485.203750000001</c:v>
                </c:pt>
                <c:pt idx="3">
                  <c:v>64942.156499999997</c:v>
                </c:pt>
                <c:pt idx="4">
                  <c:v>67720.818687499996</c:v>
                </c:pt>
                <c:pt idx="5">
                  <c:v>76284.07104166667</c:v>
                </c:pt>
                <c:pt idx="6">
                  <c:v>76475.5383</c:v>
                </c:pt>
                <c:pt idx="7">
                  <c:v>83114.317299999995</c:v>
                </c:pt>
                <c:pt idx="8">
                  <c:v>89636.25</c:v>
                </c:pt>
                <c:pt idx="9">
                  <c:v>92693.615999999995</c:v>
                </c:pt>
                <c:pt idx="10">
                  <c:v>87536.388099999996</c:v>
                </c:pt>
                <c:pt idx="11">
                  <c:v>82798.280400000003</c:v>
                </c:pt>
                <c:pt idx="12" formatCode="General">
                  <c:v>84204</c:v>
                </c:pt>
                <c:pt idx="13" formatCode="General">
                  <c:v>84392</c:v>
                </c:pt>
                <c:pt idx="14" formatCode="General">
                  <c:v>88311</c:v>
                </c:pt>
              </c:numCache>
            </c:numRef>
          </c:yVal>
        </c:ser>
        <c:ser>
          <c:idx val="6"/>
          <c:order val="6"/>
          <c:tx>
            <c:strRef>
              <c:f>'Vs other districts'!$B$23</c:f>
              <c:strCache>
                <c:ptCount val="1"/>
                <c:pt idx="0">
                  <c:v>Manassas Park City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districts'!$C$23:$Q$23</c:f>
              <c:numCache>
                <c:formatCode>0</c:formatCode>
                <c:ptCount val="15"/>
                <c:pt idx="12" formatCode="General">
                  <c:v>78079</c:v>
                </c:pt>
                <c:pt idx="13" formatCode="General">
                  <c:v>82096</c:v>
                </c:pt>
                <c:pt idx="14" formatCode="General">
                  <c:v>81661</c:v>
                </c:pt>
              </c:numCache>
            </c:numRef>
          </c:yVal>
        </c:ser>
        <c:ser>
          <c:idx val="7"/>
          <c:order val="7"/>
          <c:tx>
            <c:strRef>
              <c:f>'Vs other districts'!$B$24</c:f>
              <c:strCache>
                <c:ptCount val="1"/>
                <c:pt idx="0">
                  <c:v>Montgomery County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districts'!$C$24:$Q$24</c:f>
              <c:numCache>
                <c:formatCode>0</c:formatCode>
                <c:ptCount val="15"/>
                <c:pt idx="0">
                  <c:v>71373.917400000006</c:v>
                </c:pt>
                <c:pt idx="1">
                  <c:v>67559.556874999995</c:v>
                </c:pt>
                <c:pt idx="2">
                  <c:v>69805.858291666664</c:v>
                </c:pt>
                <c:pt idx="3">
                  <c:v>78478.387499999997</c:v>
                </c:pt>
                <c:pt idx="4">
                  <c:v>75752.717812500006</c:v>
                </c:pt>
                <c:pt idx="5">
                  <c:v>85428.080062499997</c:v>
                </c:pt>
                <c:pt idx="6">
                  <c:v>87093.96</c:v>
                </c:pt>
                <c:pt idx="7">
                  <c:v>90777.470799999996</c:v>
                </c:pt>
                <c:pt idx="8">
                  <c:v>96708.134399999995</c:v>
                </c:pt>
                <c:pt idx="9">
                  <c:v>104915.7681</c:v>
                </c:pt>
                <c:pt idx="10">
                  <c:v>112345.8787</c:v>
                </c:pt>
                <c:pt idx="12" formatCode="General">
                  <c:v>107632</c:v>
                </c:pt>
                <c:pt idx="13" formatCode="General">
                  <c:v>105645</c:v>
                </c:pt>
                <c:pt idx="14" formatCode="General">
                  <c:v>107484</c:v>
                </c:pt>
              </c:numCache>
            </c:numRef>
          </c:yVal>
        </c:ser>
        <c:ser>
          <c:idx val="8"/>
          <c:order val="8"/>
          <c:tx>
            <c:strRef>
              <c:f>'Vs other districts'!$B$25</c:f>
              <c:strCache>
                <c:ptCount val="1"/>
                <c:pt idx="0">
                  <c:v>Prince George's County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districts'!$C$25:$Q$25</c:f>
              <c:numCache>
                <c:formatCode>0</c:formatCode>
                <c:ptCount val="15"/>
                <c:pt idx="0">
                  <c:v>55108.718155555558</c:v>
                </c:pt>
                <c:pt idx="1">
                  <c:v>56008.648062499997</c:v>
                </c:pt>
                <c:pt idx="2">
                  <c:v>55436.537270833331</c:v>
                </c:pt>
                <c:pt idx="3">
                  <c:v>58572.7095625</c:v>
                </c:pt>
                <c:pt idx="4">
                  <c:v>63504.3685625</c:v>
                </c:pt>
                <c:pt idx="5">
                  <c:v>66986.764437499995</c:v>
                </c:pt>
                <c:pt idx="6">
                  <c:v>68108.952999999994</c:v>
                </c:pt>
                <c:pt idx="7">
                  <c:v>70770.255999999994</c:v>
                </c:pt>
                <c:pt idx="8">
                  <c:v>76027.775999999998</c:v>
                </c:pt>
                <c:pt idx="9">
                  <c:v>92871.765499999994</c:v>
                </c:pt>
                <c:pt idx="10">
                  <c:v>92379.386100000003</c:v>
                </c:pt>
                <c:pt idx="11">
                  <c:v>88602.245999999999</c:v>
                </c:pt>
                <c:pt idx="12" formatCode="General">
                  <c:v>89766</c:v>
                </c:pt>
                <c:pt idx="13" formatCode="General">
                  <c:v>89740</c:v>
                </c:pt>
                <c:pt idx="14" formatCode="General">
                  <c:v>91218</c:v>
                </c:pt>
              </c:numCache>
            </c:numRef>
          </c:yVal>
        </c:ser>
        <c:ser>
          <c:idx val="9"/>
          <c:order val="9"/>
          <c:tx>
            <c:strRef>
              <c:f>'Vs other districts'!$B$26</c:f>
              <c:strCache>
                <c:ptCount val="1"/>
                <c:pt idx="0">
                  <c:v>Prince William County</c:v>
                </c:pt>
              </c:strCache>
            </c:strRef>
          </c:tx>
          <c:marker>
            <c:symbol val="none"/>
          </c:marker>
          <c:xVal>
            <c:numRef>
              <c:f>'Vs other districts'!$C$16:$Q$16</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districts'!$C$26:$Q$26</c:f>
              <c:numCache>
                <c:formatCode>0</c:formatCode>
                <c:ptCount val="15"/>
                <c:pt idx="0">
                  <c:v>55430.908066666663</c:v>
                </c:pt>
                <c:pt idx="1">
                  <c:v>57603.619124999997</c:v>
                </c:pt>
                <c:pt idx="2">
                  <c:v>60366.238291666668</c:v>
                </c:pt>
                <c:pt idx="3">
                  <c:v>61918.855624999997</c:v>
                </c:pt>
                <c:pt idx="4">
                  <c:v>68482.63</c:v>
                </c:pt>
                <c:pt idx="5">
                  <c:v>68580.090104166666</c:v>
                </c:pt>
                <c:pt idx="6">
                  <c:v>69278.096916666662</c:v>
                </c:pt>
                <c:pt idx="7">
                  <c:v>73480.2641</c:v>
                </c:pt>
                <c:pt idx="8">
                  <c:v>79881.907399999996</c:v>
                </c:pt>
                <c:pt idx="9">
                  <c:v>81453.373399999997</c:v>
                </c:pt>
                <c:pt idx="10">
                  <c:v>84444.388999999996</c:v>
                </c:pt>
                <c:pt idx="11">
                  <c:v>82230.788400000005</c:v>
                </c:pt>
                <c:pt idx="12" formatCode="General">
                  <c:v>83393</c:v>
                </c:pt>
                <c:pt idx="13" formatCode="General">
                  <c:v>83804</c:v>
                </c:pt>
                <c:pt idx="14" formatCode="General">
                  <c:v>85787</c:v>
                </c:pt>
              </c:numCache>
            </c:numRef>
          </c:yVal>
        </c:ser>
        <c:axId val="231269120"/>
        <c:axId val="231270656"/>
      </c:scatterChart>
      <c:valAx>
        <c:axId val="231269120"/>
        <c:scaling>
          <c:orientation val="minMax"/>
        </c:scaling>
        <c:axPos val="b"/>
        <c:majorGridlines/>
        <c:numFmt formatCode="General" sourceLinked="1"/>
        <c:tickLblPos val="nextTo"/>
        <c:crossAx val="231270656"/>
        <c:crosses val="autoZero"/>
        <c:crossBetween val="midCat"/>
      </c:valAx>
      <c:valAx>
        <c:axId val="231270656"/>
        <c:scaling>
          <c:orientation val="minMax"/>
        </c:scaling>
        <c:axPos val="l"/>
        <c:majorGridlines/>
        <c:numFmt formatCode="0" sourceLinked="1"/>
        <c:tickLblPos val="nextTo"/>
        <c:crossAx val="231269120"/>
        <c:crosses val="autoZero"/>
        <c:crossBetween val="midCat"/>
      </c:valAx>
    </c:plotArea>
    <c:legend>
      <c:legendPos val="r"/>
    </c:legend>
    <c:plotVisOnly val="1"/>
  </c:chart>
  <c:printSettings>
    <c:headerFooter/>
    <c:pageMargins b="0.750000000000004" l="0.70000000000000062" r="0.70000000000000062" t="0.75000000000000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Average Teacher Salary</a:t>
            </a:r>
          </a:p>
        </c:rich>
      </c:tx>
    </c:title>
    <c:plotArea>
      <c:layout/>
      <c:scatterChart>
        <c:scatterStyle val="lineMarker"/>
        <c:ser>
          <c:idx val="0"/>
          <c:order val="0"/>
          <c:tx>
            <c:strRef>
              <c:f>'Vs other districts'!$B$51</c:f>
              <c:strCache>
                <c:ptCount val="1"/>
                <c:pt idx="0">
                  <c:v>Alexandria City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districts'!$C$51:$Q$51</c:f>
              <c:numCache>
                <c:formatCode>General</c:formatCode>
                <c:ptCount val="15"/>
                <c:pt idx="0">
                  <c:v>47930</c:v>
                </c:pt>
                <c:pt idx="1">
                  <c:v>48225</c:v>
                </c:pt>
                <c:pt idx="2">
                  <c:v>50609</c:v>
                </c:pt>
                <c:pt idx="3">
                  <c:v>54224</c:v>
                </c:pt>
                <c:pt idx="4">
                  <c:v>55151</c:v>
                </c:pt>
                <c:pt idx="5">
                  <c:v>59644</c:v>
                </c:pt>
                <c:pt idx="6">
                  <c:v>62536</c:v>
                </c:pt>
                <c:pt idx="7">
                  <c:v>61956</c:v>
                </c:pt>
                <c:pt idx="8">
                  <c:v>69301</c:v>
                </c:pt>
                <c:pt idx="9">
                  <c:v>68836</c:v>
                </c:pt>
                <c:pt idx="10">
                  <c:v>69305</c:v>
                </c:pt>
                <c:pt idx="11">
                  <c:v>69845</c:v>
                </c:pt>
                <c:pt idx="12">
                  <c:v>71239</c:v>
                </c:pt>
                <c:pt idx="13">
                  <c:v>72734</c:v>
                </c:pt>
                <c:pt idx="14">
                  <c:v>73705</c:v>
                </c:pt>
              </c:numCache>
            </c:numRef>
          </c:yVal>
        </c:ser>
        <c:ser>
          <c:idx val="1"/>
          <c:order val="1"/>
          <c:tx>
            <c:strRef>
              <c:f>'Vs other districts'!$B$52</c:f>
              <c:strCache>
                <c:ptCount val="1"/>
                <c:pt idx="0">
                  <c:v>Arlington County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districts'!$C$52:$Q$52</c:f>
              <c:numCache>
                <c:formatCode>General</c:formatCode>
                <c:ptCount val="15"/>
                <c:pt idx="0">
                  <c:v>50652</c:v>
                </c:pt>
                <c:pt idx="1">
                  <c:v>53830</c:v>
                </c:pt>
                <c:pt idx="2">
                  <c:v>54142</c:v>
                </c:pt>
                <c:pt idx="3">
                  <c:v>57836</c:v>
                </c:pt>
                <c:pt idx="4">
                  <c:v>60100</c:v>
                </c:pt>
                <c:pt idx="5">
                  <c:v>61827</c:v>
                </c:pt>
                <c:pt idx="6">
                  <c:v>66295</c:v>
                </c:pt>
                <c:pt idx="7">
                  <c:v>69156</c:v>
                </c:pt>
                <c:pt idx="8">
                  <c:v>71148</c:v>
                </c:pt>
                <c:pt idx="9">
                  <c:v>73103</c:v>
                </c:pt>
                <c:pt idx="10">
                  <c:v>73783</c:v>
                </c:pt>
                <c:pt idx="11">
                  <c:v>73742</c:v>
                </c:pt>
                <c:pt idx="12">
                  <c:v>72635</c:v>
                </c:pt>
                <c:pt idx="13">
                  <c:v>72997</c:v>
                </c:pt>
                <c:pt idx="14">
                  <c:v>74903</c:v>
                </c:pt>
              </c:numCache>
            </c:numRef>
          </c:yVal>
        </c:ser>
        <c:ser>
          <c:idx val="2"/>
          <c:order val="2"/>
          <c:tx>
            <c:strRef>
              <c:f>'Vs other districts'!$B$53</c:f>
              <c:strCache>
                <c:ptCount val="1"/>
                <c:pt idx="0">
                  <c:v>Fairfax County</c:v>
                </c:pt>
              </c:strCache>
            </c:strRef>
          </c:tx>
          <c:marker>
            <c:symbol val="square"/>
            <c:size val="5"/>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districts'!$C$53:$Q$53</c:f>
              <c:numCache>
                <c:formatCode>General</c:formatCode>
                <c:ptCount val="15"/>
                <c:pt idx="0">
                  <c:v>48497</c:v>
                </c:pt>
                <c:pt idx="1">
                  <c:v>49000</c:v>
                </c:pt>
                <c:pt idx="2">
                  <c:v>51623</c:v>
                </c:pt>
                <c:pt idx="3">
                  <c:v>53206</c:v>
                </c:pt>
                <c:pt idx="4">
                  <c:v>55265</c:v>
                </c:pt>
                <c:pt idx="5">
                  <c:v>57258</c:v>
                </c:pt>
                <c:pt idx="6">
                  <c:v>60201</c:v>
                </c:pt>
                <c:pt idx="7">
                  <c:v>62638</c:v>
                </c:pt>
                <c:pt idx="8">
                  <c:v>64219</c:v>
                </c:pt>
                <c:pt idx="9">
                  <c:v>66237</c:v>
                </c:pt>
                <c:pt idx="10">
                  <c:v>64653</c:v>
                </c:pt>
                <c:pt idx="11">
                  <c:v>64249</c:v>
                </c:pt>
                <c:pt idx="12">
                  <c:v>63980</c:v>
                </c:pt>
                <c:pt idx="13">
                  <c:v>64813</c:v>
                </c:pt>
                <c:pt idx="14">
                  <c:v>67245</c:v>
                </c:pt>
              </c:numCache>
            </c:numRef>
          </c:yVal>
        </c:ser>
        <c:ser>
          <c:idx val="3"/>
          <c:order val="3"/>
          <c:tx>
            <c:strRef>
              <c:f>'Vs other districts'!$B$54</c:f>
              <c:strCache>
                <c:ptCount val="1"/>
                <c:pt idx="0">
                  <c:v>Falls Church City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districts'!$C$54:$Q$54</c:f>
              <c:numCache>
                <c:formatCode>General</c:formatCode>
                <c:ptCount val="15"/>
                <c:pt idx="0">
                  <c:v>47567</c:v>
                </c:pt>
                <c:pt idx="1">
                  <c:v>49247</c:v>
                </c:pt>
                <c:pt idx="2">
                  <c:v>50295</c:v>
                </c:pt>
                <c:pt idx="3">
                  <c:v>51278</c:v>
                </c:pt>
                <c:pt idx="4">
                  <c:v>52875</c:v>
                </c:pt>
                <c:pt idx="5">
                  <c:v>56343</c:v>
                </c:pt>
                <c:pt idx="6">
                  <c:v>59998</c:v>
                </c:pt>
                <c:pt idx="7">
                  <c:v>61780</c:v>
                </c:pt>
                <c:pt idx="8">
                  <c:v>64100</c:v>
                </c:pt>
                <c:pt idx="9">
                  <c:v>63735</c:v>
                </c:pt>
                <c:pt idx="10">
                  <c:v>66035</c:v>
                </c:pt>
                <c:pt idx="11">
                  <c:v>66035</c:v>
                </c:pt>
                <c:pt idx="12">
                  <c:v>65835</c:v>
                </c:pt>
                <c:pt idx="13">
                  <c:v>66252</c:v>
                </c:pt>
                <c:pt idx="14">
                  <c:v>64750</c:v>
                </c:pt>
              </c:numCache>
            </c:numRef>
          </c:yVal>
        </c:ser>
        <c:ser>
          <c:idx val="4"/>
          <c:order val="4"/>
          <c:tx>
            <c:strRef>
              <c:f>'Vs other districts'!$B$55</c:f>
              <c:strCache>
                <c:ptCount val="1"/>
                <c:pt idx="0">
                  <c:v>Loudoun County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districts'!$C$55:$Q$55</c:f>
              <c:numCache>
                <c:formatCode>General</c:formatCode>
                <c:ptCount val="15"/>
                <c:pt idx="0">
                  <c:v>42177</c:v>
                </c:pt>
                <c:pt idx="1">
                  <c:v>44925</c:v>
                </c:pt>
                <c:pt idx="2">
                  <c:v>51419</c:v>
                </c:pt>
                <c:pt idx="3">
                  <c:v>52789</c:v>
                </c:pt>
                <c:pt idx="4">
                  <c:v>54181</c:v>
                </c:pt>
                <c:pt idx="5">
                  <c:v>55805</c:v>
                </c:pt>
                <c:pt idx="6">
                  <c:v>56932</c:v>
                </c:pt>
                <c:pt idx="7">
                  <c:v>58540</c:v>
                </c:pt>
                <c:pt idx="8">
                  <c:v>61248</c:v>
                </c:pt>
                <c:pt idx="9">
                  <c:v>60032</c:v>
                </c:pt>
                <c:pt idx="10">
                  <c:v>59734</c:v>
                </c:pt>
                <c:pt idx="11">
                  <c:v>59376</c:v>
                </c:pt>
                <c:pt idx="12">
                  <c:v>61304</c:v>
                </c:pt>
                <c:pt idx="13">
                  <c:v>60875</c:v>
                </c:pt>
                <c:pt idx="14">
                  <c:v>62978</c:v>
                </c:pt>
              </c:numCache>
            </c:numRef>
          </c:yVal>
        </c:ser>
        <c:ser>
          <c:idx val="5"/>
          <c:order val="5"/>
          <c:tx>
            <c:strRef>
              <c:f>'Vs other districts'!$B$56</c:f>
              <c:strCache>
                <c:ptCount val="1"/>
                <c:pt idx="0">
                  <c:v>Manassas City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districts'!$C$56:$Q$56</c:f>
              <c:numCache>
                <c:formatCode>General</c:formatCode>
                <c:ptCount val="15"/>
                <c:pt idx="0">
                  <c:v>41294</c:v>
                </c:pt>
                <c:pt idx="1">
                  <c:v>42922</c:v>
                </c:pt>
                <c:pt idx="2">
                  <c:v>45423</c:v>
                </c:pt>
                <c:pt idx="3">
                  <c:v>48996</c:v>
                </c:pt>
                <c:pt idx="4">
                  <c:v>52444</c:v>
                </c:pt>
                <c:pt idx="5">
                  <c:v>54778</c:v>
                </c:pt>
                <c:pt idx="6">
                  <c:v>56063</c:v>
                </c:pt>
                <c:pt idx="7">
                  <c:v>58867</c:v>
                </c:pt>
                <c:pt idx="8">
                  <c:v>61500</c:v>
                </c:pt>
                <c:pt idx="9">
                  <c:v>63160</c:v>
                </c:pt>
                <c:pt idx="10">
                  <c:v>61999</c:v>
                </c:pt>
                <c:pt idx="11">
                  <c:v>60899</c:v>
                </c:pt>
                <c:pt idx="12">
                  <c:v>61141</c:v>
                </c:pt>
                <c:pt idx="13">
                  <c:v>60850</c:v>
                </c:pt>
                <c:pt idx="14">
                  <c:v>63228</c:v>
                </c:pt>
              </c:numCache>
            </c:numRef>
          </c:yVal>
        </c:ser>
        <c:ser>
          <c:idx val="6"/>
          <c:order val="6"/>
          <c:tx>
            <c:strRef>
              <c:f>'Vs other districts'!$B$57</c:f>
              <c:strCache>
                <c:ptCount val="1"/>
                <c:pt idx="0">
                  <c:v>Manassas Park City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districts'!$C$57:$Q$57</c:f>
              <c:numCache>
                <c:formatCode>General</c:formatCode>
                <c:ptCount val="15"/>
                <c:pt idx="12">
                  <c:v>55851</c:v>
                </c:pt>
                <c:pt idx="13">
                  <c:v>58479</c:v>
                </c:pt>
                <c:pt idx="14">
                  <c:v>57993</c:v>
                </c:pt>
              </c:numCache>
            </c:numRef>
          </c:yVal>
        </c:ser>
        <c:ser>
          <c:idx val="7"/>
          <c:order val="7"/>
          <c:tx>
            <c:strRef>
              <c:f>'Vs other districts'!$B$58</c:f>
              <c:strCache>
                <c:ptCount val="1"/>
                <c:pt idx="0">
                  <c:v>Montgomery County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districts'!$C$58:$Q$58</c:f>
              <c:numCache>
                <c:formatCode>General</c:formatCode>
                <c:ptCount val="15"/>
                <c:pt idx="0">
                  <c:v>51267</c:v>
                </c:pt>
                <c:pt idx="1">
                  <c:v>51010</c:v>
                </c:pt>
                <c:pt idx="2">
                  <c:v>52658</c:v>
                </c:pt>
                <c:pt idx="3">
                  <c:v>58680</c:v>
                </c:pt>
                <c:pt idx="4">
                  <c:v>59076</c:v>
                </c:pt>
                <c:pt idx="5">
                  <c:v>63131</c:v>
                </c:pt>
                <c:pt idx="6">
                  <c:v>64725</c:v>
                </c:pt>
                <c:pt idx="7">
                  <c:v>66611</c:v>
                </c:pt>
                <c:pt idx="8">
                  <c:v>70942</c:v>
                </c:pt>
                <c:pt idx="9">
                  <c:v>75517</c:v>
                </c:pt>
                <c:pt idx="10">
                  <c:v>76483</c:v>
                </c:pt>
                <c:pt idx="12">
                  <c:v>74694</c:v>
                </c:pt>
                <c:pt idx="13">
                  <c:v>74855</c:v>
                </c:pt>
                <c:pt idx="14">
                  <c:v>74038</c:v>
                </c:pt>
              </c:numCache>
            </c:numRef>
          </c:yVal>
        </c:ser>
        <c:ser>
          <c:idx val="8"/>
          <c:order val="8"/>
          <c:tx>
            <c:strRef>
              <c:f>'Vs other districts'!$B$59</c:f>
              <c:strCache>
                <c:ptCount val="1"/>
                <c:pt idx="0">
                  <c:v>Prince George's County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districts'!$C$59:$Q$59</c:f>
              <c:numCache>
                <c:formatCode>General</c:formatCode>
                <c:ptCount val="15"/>
                <c:pt idx="0">
                  <c:v>42469</c:v>
                </c:pt>
                <c:pt idx="1">
                  <c:v>42469</c:v>
                </c:pt>
                <c:pt idx="2">
                  <c:v>43121</c:v>
                </c:pt>
                <c:pt idx="3">
                  <c:v>45087</c:v>
                </c:pt>
                <c:pt idx="4">
                  <c:v>45087</c:v>
                </c:pt>
                <c:pt idx="5">
                  <c:v>51087</c:v>
                </c:pt>
                <c:pt idx="6">
                  <c:v>52855</c:v>
                </c:pt>
                <c:pt idx="7">
                  <c:v>54980</c:v>
                </c:pt>
                <c:pt idx="8">
                  <c:v>57948</c:v>
                </c:pt>
                <c:pt idx="9">
                  <c:v>70010</c:v>
                </c:pt>
                <c:pt idx="10">
                  <c:v>67971</c:v>
                </c:pt>
                <c:pt idx="11">
                  <c:v>64626</c:v>
                </c:pt>
                <c:pt idx="12">
                  <c:v>63884</c:v>
                </c:pt>
                <c:pt idx="13">
                  <c:v>63566</c:v>
                </c:pt>
                <c:pt idx="14">
                  <c:v>63793</c:v>
                </c:pt>
              </c:numCache>
            </c:numRef>
          </c:yVal>
        </c:ser>
        <c:ser>
          <c:idx val="9"/>
          <c:order val="9"/>
          <c:tx>
            <c:strRef>
              <c:f>'Vs other districts'!$B$60</c:f>
              <c:strCache>
                <c:ptCount val="1"/>
                <c:pt idx="0">
                  <c:v>Prince William County</c:v>
                </c:pt>
              </c:strCache>
            </c:strRef>
          </c:tx>
          <c:marker>
            <c:symbol val="none"/>
          </c:marker>
          <c:xVal>
            <c:numRef>
              <c:f>'Vs other districts'!$C$50:$Q$50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xVal>
          <c:yVal>
            <c:numRef>
              <c:f>'Vs other districts'!$C$60:$Q$60</c:f>
              <c:numCache>
                <c:formatCode>General</c:formatCode>
                <c:ptCount val="15"/>
                <c:pt idx="0">
                  <c:v>41389</c:v>
                </c:pt>
                <c:pt idx="1">
                  <c:v>43046</c:v>
                </c:pt>
                <c:pt idx="2">
                  <c:v>44798</c:v>
                </c:pt>
                <c:pt idx="3">
                  <c:v>46155</c:v>
                </c:pt>
                <c:pt idx="4">
                  <c:v>47963</c:v>
                </c:pt>
                <c:pt idx="5">
                  <c:v>50215</c:v>
                </c:pt>
                <c:pt idx="6">
                  <c:v>51607</c:v>
                </c:pt>
                <c:pt idx="7">
                  <c:v>53413</c:v>
                </c:pt>
                <c:pt idx="8">
                  <c:v>55788</c:v>
                </c:pt>
                <c:pt idx="9">
                  <c:v>57406</c:v>
                </c:pt>
                <c:pt idx="10">
                  <c:v>59330</c:v>
                </c:pt>
                <c:pt idx="11">
                  <c:v>60163</c:v>
                </c:pt>
                <c:pt idx="12">
                  <c:v>59367</c:v>
                </c:pt>
                <c:pt idx="13">
                  <c:v>58893</c:v>
                </c:pt>
                <c:pt idx="14">
                  <c:v>60408</c:v>
                </c:pt>
              </c:numCache>
            </c:numRef>
          </c:yVal>
        </c:ser>
        <c:axId val="232850176"/>
        <c:axId val="232851712"/>
      </c:scatterChart>
      <c:valAx>
        <c:axId val="232850176"/>
        <c:scaling>
          <c:orientation val="minMax"/>
        </c:scaling>
        <c:axPos val="b"/>
        <c:majorGridlines/>
        <c:numFmt formatCode="General" sourceLinked="1"/>
        <c:tickLblPos val="nextTo"/>
        <c:crossAx val="232851712"/>
        <c:crosses val="autoZero"/>
        <c:crossBetween val="midCat"/>
      </c:valAx>
      <c:valAx>
        <c:axId val="232851712"/>
        <c:scaling>
          <c:orientation val="minMax"/>
        </c:scaling>
        <c:axPos val="l"/>
        <c:majorGridlines/>
        <c:numFmt formatCode="General" sourceLinked="1"/>
        <c:tickLblPos val="nextTo"/>
        <c:crossAx val="232850176"/>
        <c:crosses val="autoZero"/>
        <c:crossBetween val="midCat"/>
      </c:valAx>
    </c:plotArea>
    <c:legend>
      <c:legendPos val="r"/>
    </c:legend>
    <c:plotVisOnly val="1"/>
  </c:chart>
  <c:printSettings>
    <c:headerFooter/>
    <c:pageMargins b="0.750000000000004" l="0.70000000000000062" r="0.70000000000000062" t="0.75000000000000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Salary for Masters at Step 9</a:t>
            </a:r>
          </a:p>
        </c:rich>
      </c:tx>
    </c:title>
    <c:plotArea>
      <c:layout>
        <c:manualLayout>
          <c:layoutTarget val="inner"/>
          <c:xMode val="edge"/>
          <c:yMode val="edge"/>
          <c:x val="0.10087912695123676"/>
          <c:y val="0.17867328685825101"/>
          <c:w val="0.54849509600773583"/>
          <c:h val="0.71495026497483993"/>
        </c:manualLayout>
      </c:layout>
      <c:scatterChart>
        <c:scatterStyle val="lineMarker"/>
        <c:ser>
          <c:idx val="1"/>
          <c:order val="0"/>
          <c:tx>
            <c:strRef>
              <c:f>'Vs other districts'!$B$65</c:f>
              <c:strCache>
                <c:ptCount val="1"/>
                <c:pt idx="0">
                  <c:v>Arlington County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districts'!$C$65:$R$65</c:f>
              <c:numCache>
                <c:formatCode>General</c:formatCode>
                <c:ptCount val="16"/>
                <c:pt idx="0">
                  <c:v>49240</c:v>
                </c:pt>
                <c:pt idx="1">
                  <c:v>50717</c:v>
                </c:pt>
                <c:pt idx="2">
                  <c:v>52239</c:v>
                </c:pt>
                <c:pt idx="3">
                  <c:v>55223</c:v>
                </c:pt>
                <c:pt idx="4">
                  <c:v>56327</c:v>
                </c:pt>
                <c:pt idx="5">
                  <c:v>57454</c:v>
                </c:pt>
                <c:pt idx="6">
                  <c:v>62137</c:v>
                </c:pt>
                <c:pt idx="7">
                  <c:v>64001</c:v>
                </c:pt>
                <c:pt idx="8">
                  <c:v>65409</c:v>
                </c:pt>
                <c:pt idx="9">
                  <c:v>66848</c:v>
                </c:pt>
                <c:pt idx="10">
                  <c:v>66848</c:v>
                </c:pt>
                <c:pt idx="11">
                  <c:v>66848</c:v>
                </c:pt>
                <c:pt idx="12">
                  <c:v>66848</c:v>
                </c:pt>
                <c:pt idx="13">
                  <c:v>71982</c:v>
                </c:pt>
                <c:pt idx="14">
                  <c:v>71982</c:v>
                </c:pt>
                <c:pt idx="15">
                  <c:v>77093</c:v>
                </c:pt>
              </c:numCache>
            </c:numRef>
          </c:yVal>
        </c:ser>
        <c:ser>
          <c:idx val="0"/>
          <c:order val="1"/>
          <c:tx>
            <c:strRef>
              <c:f>'Vs other districts'!$B$64</c:f>
              <c:strCache>
                <c:ptCount val="1"/>
                <c:pt idx="0">
                  <c:v>Alexandria City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districts'!$C$64:$R$64</c:f>
              <c:numCache>
                <c:formatCode>General</c:formatCode>
                <c:ptCount val="16"/>
                <c:pt idx="0">
                  <c:v>49385</c:v>
                </c:pt>
                <c:pt idx="1">
                  <c:v>50619</c:v>
                </c:pt>
                <c:pt idx="2">
                  <c:v>54116</c:v>
                </c:pt>
                <c:pt idx="3">
                  <c:v>55469</c:v>
                </c:pt>
                <c:pt idx="4">
                  <c:v>55547</c:v>
                </c:pt>
                <c:pt idx="5">
                  <c:v>56658</c:v>
                </c:pt>
                <c:pt idx="6">
                  <c:v>57791</c:v>
                </c:pt>
                <c:pt idx="7">
                  <c:v>63642</c:v>
                </c:pt>
                <c:pt idx="8">
                  <c:v>64596</c:v>
                </c:pt>
                <c:pt idx="9">
                  <c:v>64596</c:v>
                </c:pt>
                <c:pt idx="10">
                  <c:v>65269</c:v>
                </c:pt>
                <c:pt idx="11">
                  <c:v>64596</c:v>
                </c:pt>
                <c:pt idx="12">
                  <c:v>66052</c:v>
                </c:pt>
                <c:pt idx="13">
                  <c:v>70808</c:v>
                </c:pt>
                <c:pt idx="14">
                  <c:v>70808</c:v>
                </c:pt>
                <c:pt idx="15">
                  <c:v>76626</c:v>
                </c:pt>
              </c:numCache>
            </c:numRef>
          </c:yVal>
        </c:ser>
        <c:ser>
          <c:idx val="3"/>
          <c:order val="2"/>
          <c:tx>
            <c:strRef>
              <c:f>'Vs other districts'!$B$67</c:f>
              <c:strCache>
                <c:ptCount val="1"/>
                <c:pt idx="0">
                  <c:v>Falls Church City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districts'!$C$67:$R$67</c:f>
              <c:numCache>
                <c:formatCode>General</c:formatCode>
                <c:ptCount val="16"/>
                <c:pt idx="0">
                  <c:v>44298</c:v>
                </c:pt>
                <c:pt idx="1">
                  <c:v>46378</c:v>
                </c:pt>
                <c:pt idx="2">
                  <c:v>51058</c:v>
                </c:pt>
                <c:pt idx="3">
                  <c:v>52592</c:v>
                </c:pt>
                <c:pt idx="4">
                  <c:v>53643</c:v>
                </c:pt>
                <c:pt idx="5">
                  <c:v>55147</c:v>
                </c:pt>
                <c:pt idx="6">
                  <c:v>57142</c:v>
                </c:pt>
                <c:pt idx="7">
                  <c:v>59489</c:v>
                </c:pt>
                <c:pt idx="8">
                  <c:v>61500</c:v>
                </c:pt>
                <c:pt idx="9">
                  <c:v>63340</c:v>
                </c:pt>
                <c:pt idx="10">
                  <c:v>62388</c:v>
                </c:pt>
                <c:pt idx="11">
                  <c:v>62388</c:v>
                </c:pt>
                <c:pt idx="12">
                  <c:v>62390</c:v>
                </c:pt>
                <c:pt idx="13">
                  <c:v>62388</c:v>
                </c:pt>
                <c:pt idx="14">
                  <c:v>63012</c:v>
                </c:pt>
                <c:pt idx="15">
                  <c:v>68541</c:v>
                </c:pt>
              </c:numCache>
            </c:numRef>
          </c:yVal>
        </c:ser>
        <c:ser>
          <c:idx val="7"/>
          <c:order val="3"/>
          <c:tx>
            <c:strRef>
              <c:f>'Vs other districts'!$B$71</c:f>
              <c:strCache>
                <c:ptCount val="1"/>
                <c:pt idx="0">
                  <c:v>Montgomery County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districts'!$C$71:$R$71</c:f>
              <c:numCache>
                <c:formatCode>General</c:formatCode>
                <c:ptCount val="16"/>
                <c:pt idx="0">
                  <c:v>46667</c:v>
                </c:pt>
                <c:pt idx="1">
                  <c:v>48761</c:v>
                </c:pt>
                <c:pt idx="2">
                  <c:v>51199</c:v>
                </c:pt>
                <c:pt idx="3">
                  <c:v>53758</c:v>
                </c:pt>
                <c:pt idx="4">
                  <c:v>56445</c:v>
                </c:pt>
                <c:pt idx="5">
                  <c:v>57575</c:v>
                </c:pt>
                <c:pt idx="6">
                  <c:v>59159</c:v>
                </c:pt>
                <c:pt idx="7">
                  <c:v>61544</c:v>
                </c:pt>
                <c:pt idx="8">
                  <c:v>64498</c:v>
                </c:pt>
                <c:pt idx="9">
                  <c:v>67723</c:v>
                </c:pt>
                <c:pt idx="10">
                  <c:v>67723</c:v>
                </c:pt>
                <c:pt idx="12">
                  <c:v>67723</c:v>
                </c:pt>
                <c:pt idx="13">
                  <c:v>67723</c:v>
                </c:pt>
                <c:pt idx="14">
                  <c:v>67723</c:v>
                </c:pt>
                <c:pt idx="15">
                  <c:v>67723</c:v>
                </c:pt>
              </c:numCache>
            </c:numRef>
          </c:yVal>
        </c:ser>
        <c:ser>
          <c:idx val="8"/>
          <c:order val="4"/>
          <c:tx>
            <c:strRef>
              <c:f>'Vs other districts'!$B$72</c:f>
              <c:strCache>
                <c:ptCount val="1"/>
                <c:pt idx="0">
                  <c:v>Prince George's County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districts'!$C$72:$R$72</c:f>
              <c:numCache>
                <c:formatCode>General</c:formatCode>
                <c:ptCount val="16"/>
                <c:pt idx="0">
                  <c:v>40176</c:v>
                </c:pt>
                <c:pt idx="1">
                  <c:v>40176</c:v>
                </c:pt>
                <c:pt idx="2">
                  <c:v>46405</c:v>
                </c:pt>
                <c:pt idx="3">
                  <c:v>48957</c:v>
                </c:pt>
                <c:pt idx="4">
                  <c:v>48957</c:v>
                </c:pt>
                <c:pt idx="5">
                  <c:v>49475</c:v>
                </c:pt>
                <c:pt idx="6">
                  <c:v>52987</c:v>
                </c:pt>
                <c:pt idx="7">
                  <c:v>58253</c:v>
                </c:pt>
                <c:pt idx="8">
                  <c:v>61166</c:v>
                </c:pt>
                <c:pt idx="9">
                  <c:v>63793</c:v>
                </c:pt>
                <c:pt idx="10">
                  <c:v>63020</c:v>
                </c:pt>
                <c:pt idx="11">
                  <c:v>63020</c:v>
                </c:pt>
                <c:pt idx="12">
                  <c:v>63020</c:v>
                </c:pt>
                <c:pt idx="13">
                  <c:v>63020</c:v>
                </c:pt>
                <c:pt idx="14">
                  <c:v>60188</c:v>
                </c:pt>
                <c:pt idx="15">
                  <c:v>64776</c:v>
                </c:pt>
              </c:numCache>
            </c:numRef>
          </c:yVal>
        </c:ser>
        <c:ser>
          <c:idx val="9"/>
          <c:order val="5"/>
          <c:tx>
            <c:strRef>
              <c:f>'Vs other districts'!$B$73</c:f>
              <c:strCache>
                <c:ptCount val="1"/>
                <c:pt idx="0">
                  <c:v>Prince William County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districts'!$C$73:$R$73</c:f>
              <c:numCache>
                <c:formatCode>General</c:formatCode>
                <c:ptCount val="16"/>
                <c:pt idx="0">
                  <c:v>41829</c:v>
                </c:pt>
                <c:pt idx="1">
                  <c:v>43620</c:v>
                </c:pt>
                <c:pt idx="2">
                  <c:v>46205</c:v>
                </c:pt>
                <c:pt idx="3">
                  <c:v>48234</c:v>
                </c:pt>
                <c:pt idx="4">
                  <c:v>50460</c:v>
                </c:pt>
                <c:pt idx="5">
                  <c:v>51974</c:v>
                </c:pt>
                <c:pt idx="6">
                  <c:v>53533</c:v>
                </c:pt>
                <c:pt idx="7">
                  <c:v>55245</c:v>
                </c:pt>
                <c:pt idx="8">
                  <c:v>56350</c:v>
                </c:pt>
                <c:pt idx="9">
                  <c:v>57364</c:v>
                </c:pt>
                <c:pt idx="10">
                  <c:v>57309</c:v>
                </c:pt>
                <c:pt idx="11">
                  <c:v>57309</c:v>
                </c:pt>
                <c:pt idx="12">
                  <c:v>58312</c:v>
                </c:pt>
                <c:pt idx="13">
                  <c:v>58895</c:v>
                </c:pt>
                <c:pt idx="14">
                  <c:v>60662</c:v>
                </c:pt>
                <c:pt idx="15">
                  <c:v>62482</c:v>
                </c:pt>
              </c:numCache>
            </c:numRef>
          </c:yVal>
        </c:ser>
        <c:ser>
          <c:idx val="5"/>
          <c:order val="6"/>
          <c:tx>
            <c:strRef>
              <c:f>'Vs other districts'!$B$69</c:f>
              <c:strCache>
                <c:ptCount val="1"/>
                <c:pt idx="0">
                  <c:v>Manassas City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districts'!$C$69:$R$69</c:f>
              <c:numCache>
                <c:formatCode>General</c:formatCode>
                <c:ptCount val="16"/>
                <c:pt idx="0">
                  <c:v>41426</c:v>
                </c:pt>
                <c:pt idx="1">
                  <c:v>42923</c:v>
                </c:pt>
                <c:pt idx="2">
                  <c:v>44537</c:v>
                </c:pt>
                <c:pt idx="3">
                  <c:v>48296</c:v>
                </c:pt>
                <c:pt idx="4">
                  <c:v>50523</c:v>
                </c:pt>
                <c:pt idx="5">
                  <c:v>52038</c:v>
                </c:pt>
                <c:pt idx="6">
                  <c:v>53598</c:v>
                </c:pt>
                <c:pt idx="7">
                  <c:v>55303</c:v>
                </c:pt>
                <c:pt idx="8">
                  <c:v>56497</c:v>
                </c:pt>
                <c:pt idx="9">
                  <c:v>58283</c:v>
                </c:pt>
                <c:pt idx="10">
                  <c:v>56585</c:v>
                </c:pt>
                <c:pt idx="11">
                  <c:v>56585</c:v>
                </c:pt>
                <c:pt idx="12">
                  <c:v>53011</c:v>
                </c:pt>
                <c:pt idx="13">
                  <c:v>54197</c:v>
                </c:pt>
                <c:pt idx="14">
                  <c:v>58562</c:v>
                </c:pt>
                <c:pt idx="15">
                  <c:v>61642</c:v>
                </c:pt>
              </c:numCache>
            </c:numRef>
          </c:yVal>
        </c:ser>
        <c:ser>
          <c:idx val="2"/>
          <c:order val="7"/>
          <c:tx>
            <c:strRef>
              <c:f>'Vs other districts'!$B$66</c:f>
              <c:strCache>
                <c:ptCount val="1"/>
                <c:pt idx="0">
                  <c:v>Fairfax County</c:v>
                </c:pt>
              </c:strCache>
            </c:strRef>
          </c:tx>
          <c:marker>
            <c:symbol val="square"/>
            <c:size val="5"/>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districts'!$C$66:$R$66</c:f>
              <c:numCache>
                <c:formatCode>General</c:formatCode>
                <c:ptCount val="16"/>
                <c:pt idx="0">
                  <c:v>45953</c:v>
                </c:pt>
                <c:pt idx="1">
                  <c:v>48252</c:v>
                </c:pt>
                <c:pt idx="2">
                  <c:v>49877</c:v>
                </c:pt>
                <c:pt idx="3">
                  <c:v>50874</c:v>
                </c:pt>
                <c:pt idx="4">
                  <c:v>52430</c:v>
                </c:pt>
                <c:pt idx="5">
                  <c:v>54002</c:v>
                </c:pt>
                <c:pt idx="6">
                  <c:v>56259</c:v>
                </c:pt>
                <c:pt idx="7">
                  <c:v>58067</c:v>
                </c:pt>
                <c:pt idx="8">
                  <c:v>59717</c:v>
                </c:pt>
                <c:pt idx="9">
                  <c:v>60911</c:v>
                </c:pt>
                <c:pt idx="10">
                  <c:v>59191</c:v>
                </c:pt>
                <c:pt idx="11">
                  <c:v>57524</c:v>
                </c:pt>
                <c:pt idx="12">
                  <c:v>58099</c:v>
                </c:pt>
                <c:pt idx="13">
                  <c:v>58303</c:v>
                </c:pt>
                <c:pt idx="14">
                  <c:v>59590</c:v>
                </c:pt>
                <c:pt idx="15">
                  <c:v>61253</c:v>
                </c:pt>
              </c:numCache>
            </c:numRef>
          </c:yVal>
        </c:ser>
        <c:ser>
          <c:idx val="4"/>
          <c:order val="8"/>
          <c:tx>
            <c:strRef>
              <c:f>'Vs other districts'!$B$68</c:f>
              <c:strCache>
                <c:ptCount val="1"/>
                <c:pt idx="0">
                  <c:v>Loudoun County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districts'!$C$68:$R$68</c:f>
              <c:numCache>
                <c:formatCode>General</c:formatCode>
                <c:ptCount val="16"/>
                <c:pt idx="0">
                  <c:v>42274</c:v>
                </c:pt>
                <c:pt idx="1">
                  <c:v>45233</c:v>
                </c:pt>
                <c:pt idx="2">
                  <c:v>49218</c:v>
                </c:pt>
                <c:pt idx="3">
                  <c:v>50202</c:v>
                </c:pt>
                <c:pt idx="4">
                  <c:v>50705</c:v>
                </c:pt>
                <c:pt idx="5">
                  <c:v>52226</c:v>
                </c:pt>
                <c:pt idx="6">
                  <c:v>54369</c:v>
                </c:pt>
                <c:pt idx="7">
                  <c:v>56271</c:v>
                </c:pt>
                <c:pt idx="8">
                  <c:v>57380</c:v>
                </c:pt>
                <c:pt idx="9">
                  <c:v>58687</c:v>
                </c:pt>
                <c:pt idx="10">
                  <c:v>55568</c:v>
                </c:pt>
                <c:pt idx="11">
                  <c:v>53818</c:v>
                </c:pt>
                <c:pt idx="12">
                  <c:v>53693</c:v>
                </c:pt>
                <c:pt idx="13">
                  <c:v>54040</c:v>
                </c:pt>
                <c:pt idx="14">
                  <c:v>55078</c:v>
                </c:pt>
                <c:pt idx="15">
                  <c:v>60086</c:v>
                </c:pt>
              </c:numCache>
            </c:numRef>
          </c:yVal>
        </c:ser>
        <c:ser>
          <c:idx val="6"/>
          <c:order val="9"/>
          <c:tx>
            <c:strRef>
              <c:f>'Vs other districts'!$B$70</c:f>
              <c:strCache>
                <c:ptCount val="1"/>
                <c:pt idx="0">
                  <c:v>Manassas Park City</c:v>
                </c:pt>
              </c:strCache>
            </c:strRef>
          </c:tx>
          <c:marker>
            <c:symbol val="none"/>
          </c:marker>
          <c:xVal>
            <c:numRef>
              <c:f>'Vs other districts'!$C$63:$R$63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xVal>
          <c:yVal>
            <c:numRef>
              <c:f>'Vs other districts'!$C$70:$R$70</c:f>
              <c:numCache>
                <c:formatCode>General</c:formatCode>
                <c:ptCount val="16"/>
                <c:pt idx="12">
                  <c:v>55637</c:v>
                </c:pt>
                <c:pt idx="13">
                  <c:v>55758</c:v>
                </c:pt>
                <c:pt idx="14">
                  <c:v>55879</c:v>
                </c:pt>
                <c:pt idx="15">
                  <c:v>58373</c:v>
                </c:pt>
              </c:numCache>
            </c:numRef>
          </c:yVal>
        </c:ser>
        <c:axId val="242038272"/>
        <c:axId val="242039808"/>
      </c:scatterChart>
      <c:valAx>
        <c:axId val="242038272"/>
        <c:scaling>
          <c:orientation val="minMax"/>
          <c:max val="2018"/>
          <c:min val="1998"/>
        </c:scaling>
        <c:axPos val="b"/>
        <c:majorGridlines/>
        <c:numFmt formatCode="General" sourceLinked="1"/>
        <c:tickLblPos val="nextTo"/>
        <c:crossAx val="242039808"/>
        <c:crosses val="autoZero"/>
        <c:crossBetween val="midCat"/>
        <c:majorUnit val="4"/>
      </c:valAx>
      <c:valAx>
        <c:axId val="242039808"/>
        <c:scaling>
          <c:orientation val="minMax"/>
        </c:scaling>
        <c:axPos val="l"/>
        <c:majorGridlines/>
        <c:numFmt formatCode="General" sourceLinked="1"/>
        <c:tickLblPos val="nextTo"/>
        <c:crossAx val="242038272"/>
        <c:crosses val="autoZero"/>
        <c:crossBetween val="midCat"/>
      </c:valAx>
    </c:plotArea>
    <c:legend>
      <c:legendPos val="r"/>
    </c:legend>
    <c:plotVisOnly val="1"/>
  </c:chart>
  <c:printSettings>
    <c:headerFooter/>
    <c:pageMargins b="0.750000000000004" l="0.70000000000000062" r="0.70000000000000062" t="0.75000000000000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autoTitleDeleted val="1"/>
    <c:plotArea>
      <c:layout/>
      <c:scatterChart>
        <c:scatterStyle val="lineMarker"/>
        <c:ser>
          <c:idx val="0"/>
          <c:order val="0"/>
          <c:tx>
            <c:strRef>
              <c:f>'Vs other districts'!$Q$63</c:f>
              <c:strCache>
                <c:ptCount val="1"/>
                <c:pt idx="0">
                  <c:v>2014</c:v>
                </c:pt>
              </c:strCache>
            </c:strRef>
          </c:tx>
          <c:spPr>
            <a:ln>
              <a:noFill/>
            </a:ln>
          </c:spPr>
          <c:marker>
            <c:symbol val="square"/>
            <c:size val="5"/>
          </c:marker>
          <c:xVal>
            <c:numRef>
              <c:f>'Vs other districts'!$Q$64:$Q$73</c:f>
              <c:numCache>
                <c:formatCode>General</c:formatCode>
                <c:ptCount val="10"/>
                <c:pt idx="0">
                  <c:v>70808</c:v>
                </c:pt>
                <c:pt idx="1">
                  <c:v>71982</c:v>
                </c:pt>
                <c:pt idx="2">
                  <c:v>59590</c:v>
                </c:pt>
                <c:pt idx="3">
                  <c:v>63012</c:v>
                </c:pt>
                <c:pt idx="4">
                  <c:v>55078</c:v>
                </c:pt>
                <c:pt idx="5">
                  <c:v>58562</c:v>
                </c:pt>
                <c:pt idx="6">
                  <c:v>55879</c:v>
                </c:pt>
                <c:pt idx="7">
                  <c:v>67723</c:v>
                </c:pt>
                <c:pt idx="8">
                  <c:v>60188</c:v>
                </c:pt>
                <c:pt idx="9">
                  <c:v>60662</c:v>
                </c:pt>
              </c:numCache>
            </c:numRef>
          </c:xVal>
          <c:yVal>
            <c:numRef>
              <c:f>'Vs other districts'!$V$64:$V$73</c:f>
              <c:numCache>
                <c:formatCode>General</c:formatCode>
                <c:ptCount val="10"/>
                <c:pt idx="0">
                  <c:v>1436</c:v>
                </c:pt>
                <c:pt idx="1">
                  <c:v>1645</c:v>
                </c:pt>
                <c:pt idx="2">
                  <c:v>1663</c:v>
                </c:pt>
                <c:pt idx="3">
                  <c:v>1765</c:v>
                </c:pt>
                <c:pt idx="4">
                  <c:v>1606</c:v>
                </c:pt>
                <c:pt idx="5">
                  <c:v>1457</c:v>
                </c:pt>
                <c:pt idx="6">
                  <c:v>1496</c:v>
                </c:pt>
                <c:pt idx="7">
                  <c:v>1649</c:v>
                </c:pt>
                <c:pt idx="8">
                  <c:v>1207</c:v>
                </c:pt>
                <c:pt idx="9">
                  <c:v>1498</c:v>
                </c:pt>
              </c:numCache>
            </c:numRef>
          </c:yVal>
        </c:ser>
        <c:ser>
          <c:idx val="1"/>
          <c:order val="1"/>
          <c:tx>
            <c:strRef>
              <c:f>'Vs other districts'!$R$63</c:f>
              <c:strCache>
                <c:ptCount val="1"/>
                <c:pt idx="0">
                  <c:v>2015</c:v>
                </c:pt>
              </c:strCache>
            </c:strRef>
          </c:tx>
          <c:spPr>
            <a:ln w="28575">
              <a:noFill/>
            </a:ln>
          </c:spPr>
          <c:xVal>
            <c:numRef>
              <c:f>'Vs other districts'!$R$64:$R$73</c:f>
              <c:numCache>
                <c:formatCode>General</c:formatCode>
                <c:ptCount val="10"/>
                <c:pt idx="0">
                  <c:v>76626</c:v>
                </c:pt>
                <c:pt idx="1">
                  <c:v>77093</c:v>
                </c:pt>
                <c:pt idx="2">
                  <c:v>61253</c:v>
                </c:pt>
                <c:pt idx="3">
                  <c:v>68541</c:v>
                </c:pt>
                <c:pt idx="4">
                  <c:v>60086</c:v>
                </c:pt>
                <c:pt idx="5">
                  <c:v>61642</c:v>
                </c:pt>
                <c:pt idx="6">
                  <c:v>58373</c:v>
                </c:pt>
                <c:pt idx="7">
                  <c:v>67723</c:v>
                </c:pt>
                <c:pt idx="8">
                  <c:v>64776</c:v>
                </c:pt>
                <c:pt idx="9">
                  <c:v>62482</c:v>
                </c:pt>
              </c:numCache>
            </c:numRef>
          </c:xVal>
          <c:yVal>
            <c:numRef>
              <c:f>'Vs other districts'!$W$64:$W$73</c:f>
              <c:numCache>
                <c:formatCode>General</c:formatCode>
                <c:ptCount val="10"/>
                <c:pt idx="0">
                  <c:v>1434</c:v>
                </c:pt>
                <c:pt idx="1">
                  <c:v>1653</c:v>
                </c:pt>
                <c:pt idx="2">
                  <c:v>1668</c:v>
                </c:pt>
                <c:pt idx="3">
                  <c:v>1773</c:v>
                </c:pt>
                <c:pt idx="4">
                  <c:v>1611</c:v>
                </c:pt>
                <c:pt idx="5">
                  <c:v>1458</c:v>
                </c:pt>
                <c:pt idx="6">
                  <c:v>1495</c:v>
                </c:pt>
                <c:pt idx="7">
                  <c:v>1649</c:v>
                </c:pt>
                <c:pt idx="8">
                  <c:v>1201</c:v>
                </c:pt>
                <c:pt idx="9">
                  <c:v>1511</c:v>
                </c:pt>
              </c:numCache>
            </c:numRef>
          </c:yVal>
        </c:ser>
        <c:ser>
          <c:idx val="2"/>
          <c:order val="2"/>
          <c:tx>
            <c:strRef>
              <c:f>'Vs other districts'!$S$63</c:f>
              <c:strCache>
                <c:ptCount val="1"/>
                <c:pt idx="0">
                  <c:v>2016</c:v>
                </c:pt>
              </c:strCache>
            </c:strRef>
          </c:tx>
          <c:spPr>
            <a:ln w="28575">
              <a:noFill/>
            </a:ln>
          </c:spPr>
          <c:xVal>
            <c:numRef>
              <c:f>'Vs other districts'!$S$64:$S$73</c:f>
              <c:numCache>
                <c:formatCode>General</c:formatCode>
                <c:ptCount val="10"/>
                <c:pt idx="0">
                  <c:v>74376</c:v>
                </c:pt>
                <c:pt idx="1">
                  <c:v>77093</c:v>
                </c:pt>
                <c:pt idx="2">
                  <c:v>61633</c:v>
                </c:pt>
                <c:pt idx="3">
                  <c:v>72140</c:v>
                </c:pt>
                <c:pt idx="4">
                  <c:v>60687</c:v>
                </c:pt>
                <c:pt idx="5">
                  <c:v>61642</c:v>
                </c:pt>
                <c:pt idx="6">
                  <c:v>57991</c:v>
                </c:pt>
                <c:pt idx="7">
                  <c:v>68739</c:v>
                </c:pt>
                <c:pt idx="8">
                  <c:v>64776</c:v>
                </c:pt>
                <c:pt idx="9">
                  <c:v>59482</c:v>
                </c:pt>
              </c:numCache>
            </c:numRef>
          </c:xVal>
          <c:yVal>
            <c:numRef>
              <c:f>'Vs other districts'!$X$64:$X$73</c:f>
              <c:numCache>
                <c:formatCode>General</c:formatCode>
                <c:ptCount val="10"/>
                <c:pt idx="0">
                  <c:v>1433</c:v>
                </c:pt>
                <c:pt idx="1">
                  <c:v>1680</c:v>
                </c:pt>
                <c:pt idx="2">
                  <c:v>1669</c:v>
                </c:pt>
                <c:pt idx="3">
                  <c:v>1766</c:v>
                </c:pt>
                <c:pt idx="4">
                  <c:v>1612</c:v>
                </c:pt>
                <c:pt idx="5">
                  <c:v>1433</c:v>
                </c:pt>
                <c:pt idx="6">
                  <c:v>1437</c:v>
                </c:pt>
                <c:pt idx="7">
                  <c:v>1629</c:v>
                </c:pt>
                <c:pt idx="8">
                  <c:v>1199</c:v>
                </c:pt>
                <c:pt idx="9">
                  <c:v>1507</c:v>
                </c:pt>
              </c:numCache>
            </c:numRef>
          </c:yVal>
        </c:ser>
        <c:axId val="243929088"/>
        <c:axId val="243931008"/>
      </c:scatterChart>
      <c:valAx>
        <c:axId val="243929088"/>
        <c:scaling>
          <c:orientation val="minMax"/>
          <c:min val="50000"/>
        </c:scaling>
        <c:axPos val="b"/>
        <c:majorGridlines/>
        <c:title>
          <c:tx>
            <c:rich>
              <a:bodyPr/>
              <a:lstStyle/>
              <a:p>
                <a:pPr>
                  <a:defRPr/>
                </a:pPr>
                <a:r>
                  <a:rPr lang="en-US"/>
                  <a:t>MA+9 Teacher Salary</a:t>
                </a:r>
              </a:p>
            </c:rich>
          </c:tx>
        </c:title>
        <c:numFmt formatCode="General" sourceLinked="1"/>
        <c:tickLblPos val="nextTo"/>
        <c:crossAx val="243931008"/>
        <c:crosses val="autoZero"/>
        <c:crossBetween val="midCat"/>
      </c:valAx>
      <c:valAx>
        <c:axId val="243931008"/>
        <c:scaling>
          <c:orientation val="minMax"/>
        </c:scaling>
        <c:axPos val="l"/>
        <c:majorGridlines/>
        <c:title>
          <c:tx>
            <c:rich>
              <a:bodyPr rot="-5400000" vert="horz"/>
              <a:lstStyle/>
              <a:p>
                <a:pPr>
                  <a:defRPr/>
                </a:pPr>
                <a:r>
                  <a:rPr lang="en-US"/>
                  <a:t>SAT Scores</a:t>
                </a:r>
              </a:p>
            </c:rich>
          </c:tx>
        </c:title>
        <c:numFmt formatCode="General" sourceLinked="1"/>
        <c:tickLblPos val="nextTo"/>
        <c:crossAx val="243929088"/>
        <c:crosses val="autoZero"/>
        <c:crossBetween val="midCat"/>
      </c:valAx>
    </c:plotArea>
    <c:legend>
      <c:legendPos val="r"/>
    </c:legend>
    <c:plotVisOnly val="1"/>
  </c:chart>
  <c:printSettings>
    <c:headerFooter/>
    <c:pageMargins b="0.750000000000004" l="0.70000000000000062" r="0.70000000000000062" t="0.75000000000000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0"/>
          <c:order val="0"/>
          <c:tx>
            <c:strRef>
              <c:f>'Vs other districts'!$B$76</c:f>
              <c:strCache>
                <c:ptCount val="1"/>
                <c:pt idx="0">
                  <c:v>Alexandria City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districts'!$C$76:$S$76</c:f>
              <c:numCache>
                <c:formatCode>_(* #,##0_);_(* \(#,##0\);_(* "-"??_);_(@_)</c:formatCode>
                <c:ptCount val="17"/>
                <c:pt idx="0">
                  <c:v>65804.963777777768</c:v>
                </c:pt>
                <c:pt idx="1">
                  <c:v>65682.370750000002</c:v>
                </c:pt>
                <c:pt idx="2">
                  <c:v>69561.608333333337</c:v>
                </c:pt>
                <c:pt idx="3">
                  <c:v>75740.608291666678</c:v>
                </c:pt>
                <c:pt idx="4">
                  <c:v>72583.727791666664</c:v>
                </c:pt>
                <c:pt idx="5">
                  <c:v>75598.297250000003</c:v>
                </c:pt>
                <c:pt idx="6">
                  <c:v>76875.514566666665</c:v>
                </c:pt>
                <c:pt idx="7">
                  <c:v>87590.484600000011</c:v>
                </c:pt>
                <c:pt idx="8">
                  <c:v>91002.844800000006</c:v>
                </c:pt>
                <c:pt idx="9">
                  <c:v>93018.239999999991</c:v>
                </c:pt>
                <c:pt idx="10">
                  <c:v>93850.295100000003</c:v>
                </c:pt>
                <c:pt idx="11">
                  <c:v>92268.926399999997</c:v>
                </c:pt>
                <c:pt idx="12">
                  <c:v>96656.432061538464</c:v>
                </c:pt>
                <c:pt idx="13">
                  <c:v>106460.37267692307</c:v>
                </c:pt>
                <c:pt idx="14">
                  <c:v>106862.34424615385</c:v>
                </c:pt>
                <c:pt idx="15">
                  <c:v>117466.47913846154</c:v>
                </c:pt>
                <c:pt idx="16">
                  <c:v>108096.06448925851</c:v>
                </c:pt>
              </c:numCache>
            </c:numRef>
          </c:yVal>
        </c:ser>
        <c:ser>
          <c:idx val="1"/>
          <c:order val="1"/>
          <c:tx>
            <c:strRef>
              <c:f>'Vs other districts'!$B$77</c:f>
              <c:strCache>
                <c:ptCount val="1"/>
                <c:pt idx="0">
                  <c:v>Arlington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districts'!$C$77:$S$77</c:f>
              <c:numCache>
                <c:formatCode>_(* #,##0_);_(* \(#,##0\);_(* "-"??_);_(@_)</c:formatCode>
                <c:ptCount val="17"/>
                <c:pt idx="0">
                  <c:v>63156.318222222224</c:v>
                </c:pt>
                <c:pt idx="1">
                  <c:v>64149.608770833329</c:v>
                </c:pt>
                <c:pt idx="2">
                  <c:v>66737.499125000002</c:v>
                </c:pt>
                <c:pt idx="3">
                  <c:v>70657.828500000003</c:v>
                </c:pt>
                <c:pt idx="4">
                  <c:v>77409.726708333328</c:v>
                </c:pt>
                <c:pt idx="5">
                  <c:v>81181.305041666667</c:v>
                </c:pt>
                <c:pt idx="6">
                  <c:v>86410.819049999991</c:v>
                </c:pt>
                <c:pt idx="7">
                  <c:v>91339.027149999994</c:v>
                </c:pt>
                <c:pt idx="8">
                  <c:v>95536.385399999999</c:v>
                </c:pt>
                <c:pt idx="9">
                  <c:v>95866.716799999995</c:v>
                </c:pt>
                <c:pt idx="10">
                  <c:v>94970.953600000008</c:v>
                </c:pt>
                <c:pt idx="11">
                  <c:v>91534.96639999999</c:v>
                </c:pt>
                <c:pt idx="12">
                  <c:v>93195.367876923076</c:v>
                </c:pt>
                <c:pt idx="13">
                  <c:v>102023.96455384616</c:v>
                </c:pt>
                <c:pt idx="14">
                  <c:v>105782.53236923077</c:v>
                </c:pt>
                <c:pt idx="15">
                  <c:v>110729.26892307692</c:v>
                </c:pt>
                <c:pt idx="16">
                  <c:v>107105.12838132355</c:v>
                </c:pt>
              </c:numCache>
            </c:numRef>
          </c:yVal>
        </c:ser>
        <c:ser>
          <c:idx val="3"/>
          <c:order val="2"/>
          <c:tx>
            <c:strRef>
              <c:f>'Vs other districts'!$B$79</c:f>
              <c:strCache>
                <c:ptCount val="1"/>
                <c:pt idx="0">
                  <c:v>Falls Church City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districts'!$C$79:$S$79</c:f>
              <c:numCache>
                <c:formatCode>_(* #,##0_);_(* \(#,##0\);_(* "-"??_);_(@_)</c:formatCode>
                <c:ptCount val="17"/>
                <c:pt idx="0">
                  <c:v>58872.042000000001</c:v>
                </c:pt>
                <c:pt idx="1">
                  <c:v>60960.982375</c:v>
                </c:pt>
                <c:pt idx="2">
                  <c:v>65716.964541666675</c:v>
                </c:pt>
                <c:pt idx="3">
                  <c:v>67449.240000000005</c:v>
                </c:pt>
                <c:pt idx="4">
                  <c:v>72010.139687499992</c:v>
                </c:pt>
                <c:pt idx="5">
                  <c:v>75771.978000000003</c:v>
                </c:pt>
                <c:pt idx="6">
                  <c:v>76774.08646666666</c:v>
                </c:pt>
                <c:pt idx="7">
                  <c:v>83119.022283333339</c:v>
                </c:pt>
                <c:pt idx="8">
                  <c:v>88167.425000000003</c:v>
                </c:pt>
                <c:pt idx="9">
                  <c:v>90246.832000000009</c:v>
                </c:pt>
                <c:pt idx="10">
                  <c:v>89795.0484</c:v>
                </c:pt>
                <c:pt idx="11">
                  <c:v>84354.814800000007</c:v>
                </c:pt>
                <c:pt idx="12">
                  <c:v>87284.569846153841</c:v>
                </c:pt>
                <c:pt idx="13">
                  <c:v>87989.155753846149</c:v>
                </c:pt>
                <c:pt idx="14">
                  <c:v>90619.01132307692</c:v>
                </c:pt>
                <c:pt idx="15">
                  <c:v>102675.47247692307</c:v>
                </c:pt>
                <c:pt idx="16">
                  <c:v>103675.25668344335</c:v>
                </c:pt>
              </c:numCache>
            </c:numRef>
          </c:yVal>
        </c:ser>
        <c:ser>
          <c:idx val="7"/>
          <c:order val="3"/>
          <c:tx>
            <c:strRef>
              <c:f>'Vs other districts'!$B$83</c:f>
              <c:strCache>
                <c:ptCount val="1"/>
                <c:pt idx="0">
                  <c:v>Montgomery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districts'!$C$83:$S$83</c:f>
              <c:numCache>
                <c:formatCode>_(* #,##0_);_(* \(#,##0\);_(* "-"??_);_(@_)</c:formatCode>
                <c:ptCount val="17"/>
                <c:pt idx="0">
                  <c:v>64969.797400000003</c:v>
                </c:pt>
                <c:pt idx="1">
                  <c:v>64580.896937499994</c:v>
                </c:pt>
                <c:pt idx="2">
                  <c:v>67871.741020833331</c:v>
                </c:pt>
                <c:pt idx="3">
                  <c:v>71895.72520833333</c:v>
                </c:pt>
                <c:pt idx="4">
                  <c:v>75752.717812499992</c:v>
                </c:pt>
                <c:pt idx="5">
                  <c:v>77909.770312499997</c:v>
                </c:pt>
                <c:pt idx="6">
                  <c:v>79604.350399999996</c:v>
                </c:pt>
                <c:pt idx="7">
                  <c:v>83872.163199999995</c:v>
                </c:pt>
                <c:pt idx="8">
                  <c:v>87923.673599999995</c:v>
                </c:pt>
                <c:pt idx="9">
                  <c:v>94087.563899999994</c:v>
                </c:pt>
                <c:pt idx="10">
                  <c:v>99478.314700000003</c:v>
                </c:pt>
                <c:pt idx="11">
                  <c:v>99486.910311538464</c:v>
                </c:pt>
                <c:pt idx="12">
                  <c:v>99495.505923076926</c:v>
                </c:pt>
                <c:pt idx="13">
                  <c:v>97090.818476923072</c:v>
                </c:pt>
                <c:pt idx="14">
                  <c:v>98051.443184615389</c:v>
                </c:pt>
                <c:pt idx="15">
                  <c:v>102115.86507692307</c:v>
                </c:pt>
                <c:pt idx="16">
                  <c:v>101134.36372962948</c:v>
                </c:pt>
              </c:numCache>
            </c:numRef>
          </c:yVal>
        </c:ser>
        <c:ser>
          <c:idx val="4"/>
          <c:order val="4"/>
          <c:tx>
            <c:strRef>
              <c:f>'Vs other districts'!$B$80</c:f>
              <c:strCache>
                <c:ptCount val="1"/>
                <c:pt idx="0">
                  <c:v>Loudoun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districts'!$C$80:$S$80</c:f>
              <c:numCache>
                <c:formatCode>_(* #,##0_);_(* \(#,##0\);_(* "-"??_);_(@_)</c:formatCode>
                <c:ptCount val="17"/>
                <c:pt idx="0">
                  <c:v>56231.935377777772</c:v>
                </c:pt>
                <c:pt idx="1">
                  <c:v>60303.127833333332</c:v>
                </c:pt>
                <c:pt idx="2">
                  <c:v>64184.373499999994</c:v>
                </c:pt>
                <c:pt idx="3">
                  <c:v>66445.484624999997</c:v>
                </c:pt>
                <c:pt idx="4">
                  <c:v>68580.625208333338</c:v>
                </c:pt>
                <c:pt idx="5">
                  <c:v>72228.558000000005</c:v>
                </c:pt>
                <c:pt idx="6">
                  <c:v>74269.866300000009</c:v>
                </c:pt>
                <c:pt idx="7">
                  <c:v>79674.108899999992</c:v>
                </c:pt>
                <c:pt idx="8">
                  <c:v>82661.628000000012</c:v>
                </c:pt>
                <c:pt idx="9">
                  <c:v>84298.984916666668</c:v>
                </c:pt>
                <c:pt idx="10">
                  <c:v>79775.273066666661</c:v>
                </c:pt>
                <c:pt idx="11">
                  <c:v>74123.531399999993</c:v>
                </c:pt>
                <c:pt idx="12">
                  <c:v>75266.847399999999</c:v>
                </c:pt>
                <c:pt idx="13">
                  <c:v>78686.396923076914</c:v>
                </c:pt>
                <c:pt idx="14">
                  <c:v>80539.288369230766</c:v>
                </c:pt>
                <c:pt idx="15">
                  <c:v>90916.588799999998</c:v>
                </c:pt>
                <c:pt idx="16">
                  <c:v>92247.830453942457</c:v>
                </c:pt>
              </c:numCache>
            </c:numRef>
          </c:yVal>
        </c:ser>
        <c:ser>
          <c:idx val="8"/>
          <c:order val="5"/>
          <c:tx>
            <c:strRef>
              <c:f>'Vs other districts'!$B$84</c:f>
              <c:strCache>
                <c:ptCount val="1"/>
                <c:pt idx="0">
                  <c:v>Prince George's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districts'!$C$84:$S$84</c:f>
              <c:numCache>
                <c:formatCode>_(* #,##0_);_(* \(#,##0\);_(* "-"??_);_(@_)</c:formatCode>
                <c:ptCount val="17"/>
                <c:pt idx="0">
                  <c:v>52133.270400000001</c:v>
                </c:pt>
                <c:pt idx="1">
                  <c:v>52984.610999999997</c:v>
                </c:pt>
                <c:pt idx="2">
                  <c:v>59658.461354166669</c:v>
                </c:pt>
                <c:pt idx="3">
                  <c:v>63600.242687500002</c:v>
                </c:pt>
                <c:pt idx="4">
                  <c:v>63504.368562500007</c:v>
                </c:pt>
                <c:pt idx="5">
                  <c:v>64873.063020833331</c:v>
                </c:pt>
                <c:pt idx="6">
                  <c:v>68279.048200000005</c:v>
                </c:pt>
                <c:pt idx="7">
                  <c:v>74983.261599999998</c:v>
                </c:pt>
                <c:pt idx="8">
                  <c:v>80249.792000000001</c:v>
                </c:pt>
                <c:pt idx="9">
                  <c:v>84624.604149999999</c:v>
                </c:pt>
                <c:pt idx="10">
                  <c:v>85650.482000000004</c:v>
                </c:pt>
                <c:pt idx="11">
                  <c:v>86400.42</c:v>
                </c:pt>
                <c:pt idx="12">
                  <c:v>88366.644</c:v>
                </c:pt>
                <c:pt idx="13">
                  <c:v>88709.860615384605</c:v>
                </c:pt>
                <c:pt idx="14">
                  <c:v>85850.31126153846</c:v>
                </c:pt>
                <c:pt idx="15">
                  <c:v>92875.828800000003</c:v>
                </c:pt>
                <c:pt idx="16">
                  <c:v>90995.134532374097</c:v>
                </c:pt>
              </c:numCache>
            </c:numRef>
          </c:yVal>
        </c:ser>
        <c:ser>
          <c:idx val="2"/>
          <c:order val="6"/>
          <c:tx>
            <c:strRef>
              <c:f>'Vs other districts'!$B$78</c:f>
              <c:strCache>
                <c:ptCount val="1"/>
                <c:pt idx="0">
                  <c:v>Fairfax County</c:v>
                </c:pt>
              </c:strCache>
            </c:strRef>
          </c:tx>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districts'!$C$78:$S$78</c:f>
              <c:numCache>
                <c:formatCode>_(* #,##0_);_(* \(#,##0\);_(* "-"??_);_(@_)</c:formatCode>
                <c:ptCount val="17"/>
                <c:pt idx="0">
                  <c:v>61426.906866666664</c:v>
                </c:pt>
                <c:pt idx="1">
                  <c:v>62857.277249999999</c:v>
                </c:pt>
                <c:pt idx="2">
                  <c:v>63757.353458333331</c:v>
                </c:pt>
                <c:pt idx="3">
                  <c:v>65470.5985</c:v>
                </c:pt>
                <c:pt idx="4">
                  <c:v>71809.438750000001</c:v>
                </c:pt>
                <c:pt idx="5">
                  <c:v>75971.813666666669</c:v>
                </c:pt>
                <c:pt idx="6">
                  <c:v>78151.252200000003</c:v>
                </c:pt>
                <c:pt idx="7">
                  <c:v>82837.414416666667</c:v>
                </c:pt>
                <c:pt idx="8">
                  <c:v>85765.555399999997</c:v>
                </c:pt>
                <c:pt idx="9">
                  <c:v>86767.719500000007</c:v>
                </c:pt>
                <c:pt idx="10">
                  <c:v>84234.712100000004</c:v>
                </c:pt>
                <c:pt idx="11">
                  <c:v>79124.262000000002</c:v>
                </c:pt>
                <c:pt idx="12">
                  <c:v>81461.054815384618</c:v>
                </c:pt>
                <c:pt idx="13">
                  <c:v>85560.997953846148</c:v>
                </c:pt>
                <c:pt idx="14">
                  <c:v>88378.387384615387</c:v>
                </c:pt>
                <c:pt idx="15">
                  <c:v>93885.771338461534</c:v>
                </c:pt>
                <c:pt idx="16">
                  <c:v>90744.955637214953</c:v>
                </c:pt>
              </c:numCache>
            </c:numRef>
          </c:yVal>
        </c:ser>
        <c:ser>
          <c:idx val="5"/>
          <c:order val="7"/>
          <c:tx>
            <c:strRef>
              <c:f>'Vs other districts'!$B$81</c:f>
              <c:strCache>
                <c:ptCount val="1"/>
                <c:pt idx="0">
                  <c:v>Manassas City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districts'!$C$81:$S$81</c:f>
              <c:numCache>
                <c:formatCode>_(* #,##0_);_(* \(#,##0\);_(* "-"??_);_(@_)</c:formatCode>
                <c:ptCount val="17"/>
                <c:pt idx="0">
                  <c:v>55036.74244444444</c:v>
                </c:pt>
                <c:pt idx="1">
                  <c:v>56747.782916666663</c:v>
                </c:pt>
                <c:pt idx="2">
                  <c:v>58324.912916666668</c:v>
                </c:pt>
                <c:pt idx="3">
                  <c:v>64014.335666666673</c:v>
                </c:pt>
                <c:pt idx="4">
                  <c:v>67720.818687499996</c:v>
                </c:pt>
                <c:pt idx="5">
                  <c:v>72468.335624999992</c:v>
                </c:pt>
                <c:pt idx="6">
                  <c:v>73113.031800000012</c:v>
                </c:pt>
                <c:pt idx="7">
                  <c:v>78082.305699999997</c:v>
                </c:pt>
                <c:pt idx="8">
                  <c:v>82344.377500000002</c:v>
                </c:pt>
                <c:pt idx="9">
                  <c:v>85536.130799999999</c:v>
                </c:pt>
                <c:pt idx="10">
                  <c:v>79892.361499999999</c:v>
                </c:pt>
                <c:pt idx="11">
                  <c:v>76932.966</c:v>
                </c:pt>
                <c:pt idx="12">
                  <c:v>72444.832600000009</c:v>
                </c:pt>
                <c:pt idx="13">
                  <c:v>74549.224199999997</c:v>
                </c:pt>
                <c:pt idx="14">
                  <c:v>81493.978246153842</c:v>
                </c:pt>
                <c:pt idx="15">
                  <c:v>89041.394830769234</c:v>
                </c:pt>
                <c:pt idx="16">
                  <c:v>88962.285054818232</c:v>
                </c:pt>
              </c:numCache>
            </c:numRef>
          </c:yVal>
        </c:ser>
        <c:ser>
          <c:idx val="9"/>
          <c:order val="8"/>
          <c:tx>
            <c:strRef>
              <c:f>'Vs other districts'!$B$85</c:f>
              <c:strCache>
                <c:ptCount val="1"/>
                <c:pt idx="0">
                  <c:v>Prince William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districts'!$C$85:$S$85</c:f>
              <c:numCache>
                <c:formatCode>_(* #,##0_);_(* \(#,##0\);_(* "-"??_);_(@_)</c:formatCode>
                <c:ptCount val="17"/>
                <c:pt idx="0">
                  <c:v>56020.185399999995</c:v>
                </c:pt>
                <c:pt idx="1">
                  <c:v>58371.738750000004</c:v>
                </c:pt>
                <c:pt idx="2">
                  <c:v>62262.200104166666</c:v>
                </c:pt>
                <c:pt idx="3">
                  <c:v>64707.920749999997</c:v>
                </c:pt>
                <c:pt idx="4">
                  <c:v>68482.63</c:v>
                </c:pt>
                <c:pt idx="5">
                  <c:v>70982.40770833334</c:v>
                </c:pt>
                <c:pt idx="6">
                  <c:v>71863.591416666663</c:v>
                </c:pt>
                <c:pt idx="7">
                  <c:v>76000.546499999997</c:v>
                </c:pt>
                <c:pt idx="8">
                  <c:v>80686.625833333339</c:v>
                </c:pt>
                <c:pt idx="9">
                  <c:v>81393.779600000009</c:v>
                </c:pt>
                <c:pt idx="10">
                  <c:v>81567.899699999994</c:v>
                </c:pt>
                <c:pt idx="11">
                  <c:v>78329.941200000001</c:v>
                </c:pt>
                <c:pt idx="12">
                  <c:v>80908.348553846154</c:v>
                </c:pt>
                <c:pt idx="13">
                  <c:v>82807.276076923081</c:v>
                </c:pt>
                <c:pt idx="14">
                  <c:v>85772.334953846163</c:v>
                </c:pt>
                <c:pt idx="15">
                  <c:v>90563.33332307692</c:v>
                </c:pt>
                <c:pt idx="16">
                  <c:v>84714.394579002794</c:v>
                </c:pt>
              </c:numCache>
            </c:numRef>
          </c:yVal>
        </c:ser>
        <c:ser>
          <c:idx val="6"/>
          <c:order val="9"/>
          <c:tx>
            <c:strRef>
              <c:f>'Vs other districts'!$B$82</c:f>
              <c:strCache>
                <c:ptCount val="1"/>
                <c:pt idx="0">
                  <c:v>Manassas Park City</c:v>
                </c:pt>
              </c:strCache>
            </c:strRef>
          </c:tx>
          <c:marker>
            <c:symbol val="none"/>
          </c:marker>
          <c:xVal>
            <c:numRef>
              <c:f>'Vs other districts'!$O$75:$S$75</c:f>
              <c:numCache>
                <c:formatCode>General</c:formatCode>
                <c:ptCount val="5"/>
                <c:pt idx="0">
                  <c:v>2012</c:v>
                </c:pt>
                <c:pt idx="1">
                  <c:v>2013</c:v>
                </c:pt>
                <c:pt idx="2">
                  <c:v>2014</c:v>
                </c:pt>
                <c:pt idx="3">
                  <c:v>2015</c:v>
                </c:pt>
                <c:pt idx="4">
                  <c:v>2016</c:v>
                </c:pt>
              </c:numCache>
            </c:numRef>
          </c:xVal>
          <c:yVal>
            <c:numRef>
              <c:f>'Vs other districts'!$O$82:$S$82</c:f>
              <c:numCache>
                <c:formatCode>_(* #,##0_);_(* \(#,##0\);_(* "-"??_);_(@_)</c:formatCode>
                <c:ptCount val="5"/>
                <c:pt idx="0">
                  <c:v>76218.410230769237</c:v>
                </c:pt>
                <c:pt idx="1">
                  <c:v>77226.545630769237</c:v>
                </c:pt>
                <c:pt idx="2">
                  <c:v>77528.243953846148</c:v>
                </c:pt>
                <c:pt idx="3">
                  <c:v>82616.653969230771</c:v>
                </c:pt>
                <c:pt idx="4">
                  <c:v>84032.765498932902</c:v>
                </c:pt>
              </c:numCache>
            </c:numRef>
          </c:yVal>
        </c:ser>
        <c:axId val="244015872"/>
        <c:axId val="244017792"/>
      </c:scatterChart>
      <c:valAx>
        <c:axId val="244015872"/>
        <c:scaling>
          <c:orientation val="minMax"/>
          <c:max val="2016"/>
          <c:min val="1996"/>
        </c:scaling>
        <c:axPos val="b"/>
        <c:majorGridlines/>
        <c:title>
          <c:tx>
            <c:rich>
              <a:bodyPr/>
              <a:lstStyle/>
              <a:p>
                <a:pPr>
                  <a:defRPr/>
                </a:pPr>
                <a:r>
                  <a:rPr lang="en-US"/>
                  <a:t>Fiscal Year</a:t>
                </a:r>
              </a:p>
            </c:rich>
          </c:tx>
        </c:title>
        <c:numFmt formatCode="General" sourceLinked="1"/>
        <c:tickLblPos val="nextTo"/>
        <c:crossAx val="244017792"/>
        <c:crosses val="autoZero"/>
        <c:crossBetween val="midCat"/>
        <c:majorUnit val="4"/>
      </c:valAx>
      <c:valAx>
        <c:axId val="244017792"/>
        <c:scaling>
          <c:orientation val="minMax"/>
        </c:scaling>
        <c:axPos val="l"/>
        <c:majorGridlines/>
        <c:numFmt formatCode="_(* #,##0_);_(* \(#,##0\);_(* &quot;-&quot;??_);_(@_)" sourceLinked="1"/>
        <c:tickLblPos val="nextTo"/>
        <c:crossAx val="244015872"/>
        <c:crosses val="autoZero"/>
        <c:crossBetween val="midCat"/>
      </c:valAx>
    </c:plotArea>
    <c:legend>
      <c:legendPos val="r"/>
      <c:layout>
        <c:manualLayout>
          <c:xMode val="edge"/>
          <c:yMode val="edge"/>
          <c:x val="0.65063888888889321"/>
          <c:y val="8.1030183727034147E-2"/>
          <c:w val="0.33269444444444596"/>
          <c:h val="0.82405074365704289"/>
        </c:manualLayout>
      </c:layout>
    </c:legend>
    <c:plotVisOnly val="1"/>
  </c:chart>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4"/>
          <c:order val="0"/>
          <c:tx>
            <c:strRef>
              <c:f>'Derived data'!$A$11</c:f>
              <c:strCache>
                <c:ptCount val="1"/>
                <c:pt idx="0">
                  <c:v>Percent Free/Reduced Price Meal Eligible </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data'!$B$11:$T$11</c:f>
              <c:numCache>
                <c:formatCode>0.00%</c:formatCode>
                <c:ptCount val="19"/>
                <c:pt idx="1">
                  <c:v>0.28000000000000003</c:v>
                </c:pt>
                <c:pt idx="2">
                  <c:v>0.28000000000000003</c:v>
                </c:pt>
                <c:pt idx="3">
                  <c:v>0.28189629788259229</c:v>
                </c:pt>
                <c:pt idx="4">
                  <c:v>0.27371597922727642</c:v>
                </c:pt>
                <c:pt idx="5">
                  <c:v>0.27350366050789204</c:v>
                </c:pt>
                <c:pt idx="6">
                  <c:v>0.25900000000000001</c:v>
                </c:pt>
                <c:pt idx="7">
                  <c:v>0.245</c:v>
                </c:pt>
                <c:pt idx="8">
                  <c:v>0.22500000000000001</c:v>
                </c:pt>
                <c:pt idx="9">
                  <c:v>0.22500000000000001</c:v>
                </c:pt>
                <c:pt idx="10">
                  <c:v>0.21199999999999999</c:v>
                </c:pt>
                <c:pt idx="11">
                  <c:v>0.2</c:v>
                </c:pt>
                <c:pt idx="12">
                  <c:v>0.19800000000000001</c:v>
                </c:pt>
                <c:pt idx="13">
                  <c:v>0.20399999999999999</c:v>
                </c:pt>
                <c:pt idx="14">
                  <c:v>0.191</c:v>
                </c:pt>
                <c:pt idx="15">
                  <c:v>0.22800000000000001</c:v>
                </c:pt>
                <c:pt idx="16">
                  <c:v>0.20300000000000001</c:v>
                </c:pt>
                <c:pt idx="17">
                  <c:v>0.19600000000000001</c:v>
                </c:pt>
                <c:pt idx="18">
                  <c:v>0.188</c:v>
                </c:pt>
              </c:numCache>
            </c:numRef>
          </c:yVal>
        </c:ser>
        <c:ser>
          <c:idx val="2"/>
          <c:order val="1"/>
          <c:tx>
            <c:strRef>
              <c:f>'Derived data'!$A$9</c:f>
              <c:strCache>
                <c:ptCount val="1"/>
                <c:pt idx="0">
                  <c:v>Percent ESOL Enrollment </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data'!$B$9:$T$9</c:f>
              <c:numCache>
                <c:formatCode>0.00%</c:formatCode>
                <c:ptCount val="19"/>
                <c:pt idx="1">
                  <c:v>0.16966241480813599</c:v>
                </c:pt>
                <c:pt idx="2">
                  <c:v>0.16966241480813599</c:v>
                </c:pt>
                <c:pt idx="3">
                  <c:v>0.17187140294991568</c:v>
                </c:pt>
                <c:pt idx="4">
                  <c:v>0.16968378694363631</c:v>
                </c:pt>
                <c:pt idx="5">
                  <c:v>0.17300000000000001</c:v>
                </c:pt>
                <c:pt idx="6">
                  <c:v>0.157</c:v>
                </c:pt>
                <c:pt idx="7">
                  <c:v>0.129</c:v>
                </c:pt>
                <c:pt idx="8">
                  <c:v>0.123</c:v>
                </c:pt>
                <c:pt idx="9">
                  <c:v>0.122</c:v>
                </c:pt>
                <c:pt idx="10">
                  <c:v>0.13100000000000001</c:v>
                </c:pt>
                <c:pt idx="11">
                  <c:v>0.129</c:v>
                </c:pt>
                <c:pt idx="12">
                  <c:v>0.128</c:v>
                </c:pt>
                <c:pt idx="13">
                  <c:v>0.127</c:v>
                </c:pt>
                <c:pt idx="14">
                  <c:v>0.122</c:v>
                </c:pt>
                <c:pt idx="15">
                  <c:v>0.11899999999999999</c:v>
                </c:pt>
                <c:pt idx="16">
                  <c:v>0.11</c:v>
                </c:pt>
                <c:pt idx="17">
                  <c:v>9.8000000000000004E-2</c:v>
                </c:pt>
                <c:pt idx="18">
                  <c:v>8.6999999999999994E-2</c:v>
                </c:pt>
              </c:numCache>
            </c:numRef>
          </c:yVal>
        </c:ser>
        <c:ser>
          <c:idx val="7"/>
          <c:order val="2"/>
          <c:tx>
            <c:strRef>
              <c:f>'Derived data'!$A$14</c:f>
              <c:strCache>
                <c:ptCount val="1"/>
                <c:pt idx="0">
                  <c:v>    Percent Special-Education Enrollment </c:v>
                </c:pt>
              </c:strCache>
            </c:strRef>
          </c:tx>
          <c:xVal>
            <c:numRef>
              <c:f>'Derived data'!$B$6:$T$6</c:f>
              <c:numCache>
                <c:formatCode>0</c:formatCode>
                <c:ptCount val="19"/>
                <c:pt idx="0">
                  <c:v>2018</c:v>
                </c:pt>
                <c:pt idx="1">
                  <c:v>2017</c:v>
                </c:pt>
                <c:pt idx="2">
                  <c:v>2016</c:v>
                </c:pt>
                <c:pt idx="3">
                  <c:v>2015</c:v>
                </c:pt>
                <c:pt idx="4">
                  <c:v>2014</c:v>
                </c:pt>
                <c:pt idx="5">
                  <c:v>2013</c:v>
                </c:pt>
                <c:pt idx="6">
                  <c:v>2012</c:v>
                </c:pt>
                <c:pt idx="7">
                  <c:v>2011</c:v>
                </c:pt>
                <c:pt idx="8">
                  <c:v>2010</c:v>
                </c:pt>
                <c:pt idx="9">
                  <c:v>2009</c:v>
                </c:pt>
                <c:pt idx="10">
                  <c:v>2008</c:v>
                </c:pt>
                <c:pt idx="11">
                  <c:v>2007</c:v>
                </c:pt>
                <c:pt idx="12">
                  <c:v>2006</c:v>
                </c:pt>
                <c:pt idx="13">
                  <c:v>2005</c:v>
                </c:pt>
                <c:pt idx="14">
                  <c:v>2004</c:v>
                </c:pt>
                <c:pt idx="15">
                  <c:v>2003</c:v>
                </c:pt>
                <c:pt idx="16">
                  <c:v>2002</c:v>
                </c:pt>
                <c:pt idx="17">
                  <c:v>2001</c:v>
                </c:pt>
                <c:pt idx="18" formatCode="General">
                  <c:v>2000</c:v>
                </c:pt>
              </c:numCache>
            </c:numRef>
          </c:xVal>
          <c:yVal>
            <c:numRef>
              <c:f>'Derived data'!$B$14:$T$14</c:f>
              <c:numCache>
                <c:formatCode>0.00%</c:formatCode>
                <c:ptCount val="19"/>
                <c:pt idx="1">
                  <c:v>7.3680023336603992E-2</c:v>
                </c:pt>
                <c:pt idx="2">
                  <c:v>7.3680023336603992E-2</c:v>
                </c:pt>
                <c:pt idx="3">
                  <c:v>7.3019782102417219E-2</c:v>
                </c:pt>
                <c:pt idx="4">
                  <c:v>7.2323880475271218E-2</c:v>
                </c:pt>
                <c:pt idx="5">
                  <c:v>7.1610237284769312E-2</c:v>
                </c:pt>
                <c:pt idx="6">
                  <c:v>7.1976978158477506E-2</c:v>
                </c:pt>
                <c:pt idx="7">
                  <c:v>7.1993277426214614E-2</c:v>
                </c:pt>
                <c:pt idx="8">
                  <c:v>7.0746152641379192E-2</c:v>
                </c:pt>
                <c:pt idx="9">
                  <c:v>7.0751100048366738E-2</c:v>
                </c:pt>
                <c:pt idx="10">
                  <c:v>6.8878640105347333E-2</c:v>
                </c:pt>
                <c:pt idx="11">
                  <c:v>6.9489196648954921E-2</c:v>
                </c:pt>
                <c:pt idx="12">
                  <c:v>6.6281561198899469E-2</c:v>
                </c:pt>
                <c:pt idx="13">
                  <c:v>6.4552819814120962E-2</c:v>
                </c:pt>
                <c:pt idx="14">
                  <c:v>6.3790005785803461E-2</c:v>
                </c:pt>
                <c:pt idx="15">
                  <c:v>6.2135066651977523E-2</c:v>
                </c:pt>
                <c:pt idx="16">
                  <c:v>5.7960777023886981E-2</c:v>
                </c:pt>
                <c:pt idx="17">
                  <c:v>5.6943997069430499E-2</c:v>
                </c:pt>
                <c:pt idx="18">
                  <c:v>5.7389514829507583E-2</c:v>
                </c:pt>
              </c:numCache>
            </c:numRef>
          </c:yVal>
        </c:ser>
        <c:axId val="182973568"/>
        <c:axId val="182975488"/>
      </c:scatterChart>
      <c:valAx>
        <c:axId val="182973568"/>
        <c:scaling>
          <c:orientation val="minMax"/>
          <c:max val="2018"/>
          <c:min val="1998"/>
        </c:scaling>
        <c:axPos val="b"/>
        <c:majorGridlines/>
        <c:title>
          <c:tx>
            <c:rich>
              <a:bodyPr/>
              <a:lstStyle/>
              <a:p>
                <a:pPr>
                  <a:defRPr/>
                </a:pPr>
                <a:r>
                  <a:rPr lang="en-US"/>
                  <a:t>Fiscal Year</a:t>
                </a:r>
              </a:p>
            </c:rich>
          </c:tx>
          <c:layout/>
        </c:title>
        <c:numFmt formatCode="0" sourceLinked="1"/>
        <c:tickLblPos val="nextTo"/>
        <c:crossAx val="182975488"/>
        <c:crosses val="autoZero"/>
        <c:crossBetween val="midCat"/>
        <c:majorUnit val="4"/>
      </c:valAx>
      <c:valAx>
        <c:axId val="182975488"/>
        <c:scaling>
          <c:orientation val="minMax"/>
        </c:scaling>
        <c:axPos val="l"/>
        <c:majorGridlines/>
        <c:numFmt formatCode="0%" sourceLinked="0"/>
        <c:tickLblPos val="nextTo"/>
        <c:crossAx val="182973568"/>
        <c:crosses val="autoZero"/>
        <c:crossBetween val="midCat"/>
      </c:valAx>
    </c:plotArea>
    <c:legend>
      <c:legendPos val="r"/>
      <c:layout/>
    </c:legend>
    <c:plotVisOnly val="1"/>
  </c:chart>
  <c:printSettings>
    <c:headerFooter/>
    <c:pageMargins b="0.75000000000000522" l="0.70000000000000062" r="0.70000000000000062" t="0.750000000000005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FCPS Budget per Student</a:t>
            </a:r>
          </a:p>
        </c:rich>
      </c:tx>
    </c:title>
    <c:plotArea>
      <c:layout/>
      <c:scatterChart>
        <c:scatterStyle val="lineMarker"/>
        <c:ser>
          <c:idx val="0"/>
          <c:order val="0"/>
          <c:tx>
            <c:strRef>
              <c:f>'Derived data'!$A$48</c:f>
              <c:strCache>
                <c:ptCount val="1"/>
                <c:pt idx="0">
                  <c:v>Cost per student, FY2015$</c:v>
                </c:pt>
              </c:strCache>
            </c:strRef>
          </c:tx>
          <c:marker>
            <c:symbol val="none"/>
          </c:marker>
          <c:xVal>
            <c:numRef>
              <c:f>'Derived data'!$C$6:$T$6</c:f>
              <c:numCache>
                <c:formatCode>0</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formatCode="General">
                  <c:v>2000</c:v>
                </c:pt>
              </c:numCache>
            </c:numRef>
          </c:xVal>
          <c:yVal>
            <c:numRef>
              <c:f>'Derived data'!$C$48:$T$48</c:f>
              <c:numCache>
                <c:formatCode>_("$"* #,##0_);_("$"* \(#,##0\);_("$"* "-"??_);_(@_)</c:formatCode>
                <c:ptCount val="18"/>
                <c:pt idx="0">
                  <c:v>13996.983706799567</c:v>
                </c:pt>
                <c:pt idx="1">
                  <c:v>13399.201971113338</c:v>
                </c:pt>
                <c:pt idx="2">
                  <c:v>13203.860973846937</c:v>
                </c:pt>
                <c:pt idx="3">
                  <c:v>13716.337106571513</c:v>
                </c:pt>
                <c:pt idx="4">
                  <c:v>13876.525226805619</c:v>
                </c:pt>
                <c:pt idx="5">
                  <c:v>13305.54795233643</c:v>
                </c:pt>
                <c:pt idx="6">
                  <c:v>13241.300070411498</c:v>
                </c:pt>
                <c:pt idx="7">
                  <c:v>13692.169377395989</c:v>
                </c:pt>
                <c:pt idx="8">
                  <c:v>14688.764899822407</c:v>
                </c:pt>
                <c:pt idx="9">
                  <c:v>14697.967043816103</c:v>
                </c:pt>
                <c:pt idx="10">
                  <c:v>14673.190194797187</c:v>
                </c:pt>
                <c:pt idx="11">
                  <c:v>14158.279160004748</c:v>
                </c:pt>
                <c:pt idx="12">
                  <c:v>13510.887264934896</c:v>
                </c:pt>
                <c:pt idx="13">
                  <c:v>12904.667765291739</c:v>
                </c:pt>
                <c:pt idx="14">
                  <c:v>12867.012008685848</c:v>
                </c:pt>
                <c:pt idx="15">
                  <c:v>12211.900220470088</c:v>
                </c:pt>
                <c:pt idx="16">
                  <c:v>12047.464978471577</c:v>
                </c:pt>
                <c:pt idx="17">
                  <c:v>11730.482259881121</c:v>
                </c:pt>
              </c:numCache>
            </c:numRef>
          </c:yVal>
        </c:ser>
        <c:ser>
          <c:idx val="1"/>
          <c:order val="1"/>
          <c:tx>
            <c:strRef>
              <c:f>'Derived data'!$A$49</c:f>
              <c:strCache>
                <c:ptCount val="1"/>
                <c:pt idx="0">
                  <c:v>Cost per equivalent student, FY2015$</c:v>
                </c:pt>
              </c:strCache>
            </c:strRef>
          </c:tx>
          <c:marker>
            <c:symbol val="none"/>
          </c:marker>
          <c:xVal>
            <c:numRef>
              <c:f>'Derived data'!$C$6:$T$6</c:f>
              <c:numCache>
                <c:formatCode>0</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formatCode="General">
                  <c:v>2000</c:v>
                </c:pt>
              </c:numCache>
            </c:numRef>
          </c:xVal>
          <c:yVal>
            <c:numRef>
              <c:f>'Derived data'!$C$49:$T$49</c:f>
              <c:numCache>
                <c:formatCode>_("$"* #,##0_);_("$"* \(#,##0\);_("$"* "-"??_);_(@_)</c:formatCode>
                <c:ptCount val="18"/>
                <c:pt idx="0">
                  <c:v>10424.356217134906</c:v>
                </c:pt>
                <c:pt idx="1">
                  <c:v>9979.1538875884889</c:v>
                </c:pt>
                <c:pt idx="2">
                  <c:v>9826.3813704275817</c:v>
                </c:pt>
                <c:pt idx="3">
                  <c:v>10255.8333779083</c:v>
                </c:pt>
                <c:pt idx="4">
                  <c:v>10372.4268362853</c:v>
                </c:pt>
                <c:pt idx="5">
                  <c:v>10055.863330957975</c:v>
                </c:pt>
                <c:pt idx="6">
                  <c:v>10168.49135609352</c:v>
                </c:pt>
                <c:pt idx="7">
                  <c:v>10637.224097064418</c:v>
                </c:pt>
                <c:pt idx="8">
                  <c:v>11415.827160241837</c:v>
                </c:pt>
                <c:pt idx="9">
                  <c:v>11467.504295184655</c:v>
                </c:pt>
                <c:pt idx="10">
                  <c:v>11502.225456552669</c:v>
                </c:pt>
                <c:pt idx="11">
                  <c:v>11156.592415534375</c:v>
                </c:pt>
                <c:pt idx="12">
                  <c:v>10648.685525648885</c:v>
                </c:pt>
                <c:pt idx="13">
                  <c:v>10253.485456736644</c:v>
                </c:pt>
                <c:pt idx="14">
                  <c:v>10108.295386895321</c:v>
                </c:pt>
                <c:pt idx="15">
                  <c:v>9775.4852303433763</c:v>
                </c:pt>
                <c:pt idx="16">
                  <c:v>9730.525665641082</c:v>
                </c:pt>
                <c:pt idx="17">
                  <c:v>9542.2278156555221</c:v>
                </c:pt>
              </c:numCache>
            </c:numRef>
          </c:yVal>
        </c:ser>
        <c:axId val="182987776"/>
        <c:axId val="182994048"/>
      </c:scatterChart>
      <c:valAx>
        <c:axId val="182987776"/>
        <c:scaling>
          <c:orientation val="minMax"/>
        </c:scaling>
        <c:axPos val="b"/>
        <c:majorGridlines/>
        <c:title>
          <c:tx>
            <c:rich>
              <a:bodyPr/>
              <a:lstStyle/>
              <a:p>
                <a:pPr>
                  <a:defRPr/>
                </a:pPr>
                <a:r>
                  <a:rPr lang="en-US"/>
                  <a:t>Fiscal Year</a:t>
                </a:r>
              </a:p>
            </c:rich>
          </c:tx>
        </c:title>
        <c:numFmt formatCode="0" sourceLinked="1"/>
        <c:tickLblPos val="nextTo"/>
        <c:crossAx val="182994048"/>
        <c:crosses val="autoZero"/>
        <c:crossBetween val="midCat"/>
      </c:valAx>
      <c:valAx>
        <c:axId val="182994048"/>
        <c:scaling>
          <c:orientation val="minMax"/>
        </c:scaling>
        <c:axPos val="l"/>
        <c:majorGridlines/>
        <c:numFmt formatCode="&quot;$&quot;#,##0" sourceLinked="0"/>
        <c:tickLblPos val="nextTo"/>
        <c:crossAx val="182987776"/>
        <c:crosses val="autoZero"/>
        <c:crossBetween val="midCat"/>
      </c:valAx>
    </c:plotArea>
    <c:legend>
      <c:legendPos val="b"/>
    </c:legend>
    <c:plotVisOnly val="1"/>
  </c:chart>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FCPS Operating Budget</a:t>
            </a:r>
          </a:p>
        </c:rich>
      </c:tx>
    </c:title>
    <c:plotArea>
      <c:layout/>
      <c:scatterChart>
        <c:scatterStyle val="lineMarker"/>
        <c:ser>
          <c:idx val="1"/>
          <c:order val="0"/>
          <c:tx>
            <c:strRef>
              <c:f>'Derived data'!$A$46</c:f>
              <c:strCache>
                <c:ptCount val="1"/>
                <c:pt idx="0">
                  <c:v>Total expenditures, $ in millions</c:v>
                </c:pt>
              </c:strCache>
            </c:strRef>
          </c:tx>
          <c:marker>
            <c:symbol val="none"/>
          </c:marker>
          <c:xVal>
            <c:numRef>
              <c:f>'Derived data'!$C$43:$T$43</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'Derived data'!$C$46:$T$46</c:f>
              <c:numCache>
                <c:formatCode>_("$"* #,##0_);_("$"* \(#,##0\);_("$"* "-"??_);_(@_)</c:formatCode>
                <c:ptCount val="18"/>
                <c:pt idx="0">
                  <c:v>2673.0591420000001</c:v>
                </c:pt>
                <c:pt idx="1">
                  <c:v>2551.6160610000002</c:v>
                </c:pt>
                <c:pt idx="2">
                  <c:v>2466.2831719999999</c:v>
                </c:pt>
                <c:pt idx="3">
                  <c:v>2440.2259610000001</c:v>
                </c:pt>
                <c:pt idx="4">
                  <c:v>2385.6246259999998</c:v>
                </c:pt>
                <c:pt idx="5">
                  <c:v>2214.362709</c:v>
                </c:pt>
                <c:pt idx="6">
                  <c:v>2122.7711829999998</c:v>
                </c:pt>
                <c:pt idx="7">
                  <c:v>2096.962301</c:v>
                </c:pt>
                <c:pt idx="8">
                  <c:v>2176.6583569999998</c:v>
                </c:pt>
                <c:pt idx="9">
                  <c:v>2144.1423249999998</c:v>
                </c:pt>
                <c:pt idx="10">
                  <c:v>2038.8088009999999</c:v>
                </c:pt>
                <c:pt idx="11">
                  <c:v>1910.433818</c:v>
                </c:pt>
                <c:pt idx="12">
                  <c:v>1767.4404480000001</c:v>
                </c:pt>
                <c:pt idx="13">
                  <c:v>1630.701399</c:v>
                </c:pt>
                <c:pt idx="14">
                  <c:v>1575.9632999999999</c:v>
                </c:pt>
                <c:pt idx="15">
                  <c:v>1444.4858999999999</c:v>
                </c:pt>
                <c:pt idx="16">
                  <c:v>1376.3089</c:v>
                </c:pt>
                <c:pt idx="17">
                  <c:v>1271.6801</c:v>
                </c:pt>
              </c:numCache>
            </c:numRef>
          </c:yVal>
        </c:ser>
        <c:ser>
          <c:idx val="2"/>
          <c:order val="1"/>
          <c:tx>
            <c:strRef>
              <c:f>'Derived data'!$A$47</c:f>
              <c:strCache>
                <c:ptCount val="1"/>
                <c:pt idx="0">
                  <c:v>Total expenditures, FY2015$ in millions</c:v>
                </c:pt>
              </c:strCache>
            </c:strRef>
          </c:tx>
          <c:marker>
            <c:symbol val="none"/>
          </c:marker>
          <c:xVal>
            <c:numRef>
              <c:f>'Derived data'!$C$43:$T$43</c:f>
              <c:numCache>
                <c:formatCode>General</c:formatCode>
                <c:ptCount val="18"/>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pt idx="17">
                  <c:v>2000</c:v>
                </c:pt>
              </c:numCache>
            </c:numRef>
          </c:xVal>
          <c:yVal>
            <c:numRef>
              <c:f>'Derived data'!$C$47:$T$47</c:f>
              <c:numCache>
                <c:formatCode>_("$"* #,##0_);_("$"* \(#,##0\);_("$"* "-"??_);_(@_)</c:formatCode>
                <c:ptCount val="18"/>
                <c:pt idx="0">
                  <c:v>2620.3893167336537</c:v>
                </c:pt>
                <c:pt idx="1">
                  <c:v>2526.3525356435644</c:v>
                </c:pt>
                <c:pt idx="2">
                  <c:v>2466.2831719999999</c:v>
                </c:pt>
                <c:pt idx="3">
                  <c:v>2522.3658122129682</c:v>
                </c:pt>
                <c:pt idx="4">
                  <c:v>2515.2450860855597</c:v>
                </c:pt>
                <c:pt idx="5">
                  <c:v>2367.2964805837928</c:v>
                </c:pt>
                <c:pt idx="6">
                  <c:v>2316.3403452172947</c:v>
                </c:pt>
                <c:pt idx="7">
                  <c:v>2360.406771138672</c:v>
                </c:pt>
                <c:pt idx="8">
                  <c:v>2490.3038235860913</c:v>
                </c:pt>
                <c:pt idx="9">
                  <c:v>2444.3748051559246</c:v>
                </c:pt>
                <c:pt idx="10">
                  <c:v>2413.5343623814101</c:v>
                </c:pt>
                <c:pt idx="11">
                  <c:v>2325.97873352222</c:v>
                </c:pt>
                <c:pt idx="12">
                  <c:v>2221.2979534534165</c:v>
                </c:pt>
                <c:pt idx="13">
                  <c:v>2118.8819237220773</c:v>
                </c:pt>
                <c:pt idx="14">
                  <c:v>2102.2896240511459</c:v>
                </c:pt>
                <c:pt idx="15">
                  <c:v>1970.817517080565</c:v>
                </c:pt>
                <c:pt idx="16">
                  <c:v>1907.4871775063832</c:v>
                </c:pt>
                <c:pt idx="17">
                  <c:v>1812.6293102436105</c:v>
                </c:pt>
              </c:numCache>
            </c:numRef>
          </c:yVal>
        </c:ser>
        <c:axId val="183027200"/>
        <c:axId val="183028736"/>
      </c:scatterChart>
      <c:valAx>
        <c:axId val="183027200"/>
        <c:scaling>
          <c:orientation val="minMax"/>
        </c:scaling>
        <c:axPos val="b"/>
        <c:majorGridlines/>
        <c:numFmt formatCode="General" sourceLinked="1"/>
        <c:tickLblPos val="nextTo"/>
        <c:crossAx val="183028736"/>
        <c:crosses val="autoZero"/>
        <c:crossBetween val="midCat"/>
      </c:valAx>
      <c:valAx>
        <c:axId val="183028736"/>
        <c:scaling>
          <c:orientation val="minMax"/>
        </c:scaling>
        <c:axPos val="l"/>
        <c:majorGridlines/>
        <c:numFmt formatCode="_(&quot;$&quot;* #,##0_);_(&quot;$&quot;* \(#,##0\);_(&quot;$&quot;* &quot;-&quot;??_);_(@_)" sourceLinked="1"/>
        <c:tickLblPos val="nextTo"/>
        <c:crossAx val="183027200"/>
        <c:crosses val="autoZero"/>
        <c:crossBetween val="midCat"/>
      </c:valAx>
    </c:plotArea>
    <c:legend>
      <c:legendPos val="b"/>
    </c:legend>
    <c:plotVisOnly val="1"/>
  </c:chart>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Total Compensataion</a:t>
            </a:r>
            <a:r>
              <a:rPr lang="en-US" sz="1400" baseline="0"/>
              <a:t> for Teachers with a Masters at Step 9</a:t>
            </a:r>
            <a:endParaRPr lang="en-US" sz="1400"/>
          </a:p>
        </c:rich>
      </c:tx>
      <c:layout/>
    </c:title>
    <c:plotArea>
      <c:layout/>
      <c:scatterChart>
        <c:scatterStyle val="lineMarker"/>
        <c:ser>
          <c:idx val="0"/>
          <c:order val="0"/>
          <c:tx>
            <c:strRef>
              <c:f>'Vs other districts'!$B$76</c:f>
              <c:strCache>
                <c:ptCount val="1"/>
                <c:pt idx="0">
                  <c:v>Alexandria City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districts'!$C$76:$S$76</c:f>
              <c:numCache>
                <c:formatCode>_(* #,##0_);_(* \(#,##0\);_(* "-"??_);_(@_)</c:formatCode>
                <c:ptCount val="17"/>
                <c:pt idx="0">
                  <c:v>65804.963777777768</c:v>
                </c:pt>
                <c:pt idx="1">
                  <c:v>65682.370750000002</c:v>
                </c:pt>
                <c:pt idx="2">
                  <c:v>69561.608333333337</c:v>
                </c:pt>
                <c:pt idx="3">
                  <c:v>75740.608291666678</c:v>
                </c:pt>
                <c:pt idx="4">
                  <c:v>72583.727791666664</c:v>
                </c:pt>
                <c:pt idx="5">
                  <c:v>75598.297250000003</c:v>
                </c:pt>
                <c:pt idx="6">
                  <c:v>76875.514566666665</c:v>
                </c:pt>
                <c:pt idx="7">
                  <c:v>87590.484600000011</c:v>
                </c:pt>
                <c:pt idx="8">
                  <c:v>91002.844800000006</c:v>
                </c:pt>
                <c:pt idx="9">
                  <c:v>93018.239999999991</c:v>
                </c:pt>
                <c:pt idx="10">
                  <c:v>93850.295100000003</c:v>
                </c:pt>
                <c:pt idx="11">
                  <c:v>92268.926399999997</c:v>
                </c:pt>
                <c:pt idx="12">
                  <c:v>96656.432061538464</c:v>
                </c:pt>
                <c:pt idx="13">
                  <c:v>106460.37267692307</c:v>
                </c:pt>
                <c:pt idx="14">
                  <c:v>106862.34424615385</c:v>
                </c:pt>
                <c:pt idx="15">
                  <c:v>117466.47913846154</c:v>
                </c:pt>
                <c:pt idx="16">
                  <c:v>108096.06448925851</c:v>
                </c:pt>
              </c:numCache>
            </c:numRef>
          </c:yVal>
        </c:ser>
        <c:ser>
          <c:idx val="1"/>
          <c:order val="1"/>
          <c:tx>
            <c:strRef>
              <c:f>'Vs other districts'!$B$77</c:f>
              <c:strCache>
                <c:ptCount val="1"/>
                <c:pt idx="0">
                  <c:v>Arlington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districts'!$C$77:$S$77</c:f>
              <c:numCache>
                <c:formatCode>_(* #,##0_);_(* \(#,##0\);_(* "-"??_);_(@_)</c:formatCode>
                <c:ptCount val="17"/>
                <c:pt idx="0">
                  <c:v>63156.318222222224</c:v>
                </c:pt>
                <c:pt idx="1">
                  <c:v>64149.608770833329</c:v>
                </c:pt>
                <c:pt idx="2">
                  <c:v>66737.499125000002</c:v>
                </c:pt>
                <c:pt idx="3">
                  <c:v>70657.828500000003</c:v>
                </c:pt>
                <c:pt idx="4">
                  <c:v>77409.726708333328</c:v>
                </c:pt>
                <c:pt idx="5">
                  <c:v>81181.305041666667</c:v>
                </c:pt>
                <c:pt idx="6">
                  <c:v>86410.819049999991</c:v>
                </c:pt>
                <c:pt idx="7">
                  <c:v>91339.027149999994</c:v>
                </c:pt>
                <c:pt idx="8">
                  <c:v>95536.385399999999</c:v>
                </c:pt>
                <c:pt idx="9">
                  <c:v>95866.716799999995</c:v>
                </c:pt>
                <c:pt idx="10">
                  <c:v>94970.953600000008</c:v>
                </c:pt>
                <c:pt idx="11">
                  <c:v>91534.96639999999</c:v>
                </c:pt>
                <c:pt idx="12">
                  <c:v>93195.367876923076</c:v>
                </c:pt>
                <c:pt idx="13">
                  <c:v>102023.96455384616</c:v>
                </c:pt>
                <c:pt idx="14">
                  <c:v>105782.53236923077</c:v>
                </c:pt>
                <c:pt idx="15">
                  <c:v>110729.26892307692</c:v>
                </c:pt>
                <c:pt idx="16">
                  <c:v>107105.12838132355</c:v>
                </c:pt>
              </c:numCache>
            </c:numRef>
          </c:yVal>
        </c:ser>
        <c:ser>
          <c:idx val="3"/>
          <c:order val="2"/>
          <c:tx>
            <c:strRef>
              <c:f>'Vs other districts'!$B$79</c:f>
              <c:strCache>
                <c:ptCount val="1"/>
                <c:pt idx="0">
                  <c:v>Falls Church City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districts'!$C$79:$S$79</c:f>
              <c:numCache>
                <c:formatCode>_(* #,##0_);_(* \(#,##0\);_(* "-"??_);_(@_)</c:formatCode>
                <c:ptCount val="17"/>
                <c:pt idx="0">
                  <c:v>58872.042000000001</c:v>
                </c:pt>
                <c:pt idx="1">
                  <c:v>60960.982375</c:v>
                </c:pt>
                <c:pt idx="2">
                  <c:v>65716.964541666675</c:v>
                </c:pt>
                <c:pt idx="3">
                  <c:v>67449.240000000005</c:v>
                </c:pt>
                <c:pt idx="4">
                  <c:v>72010.139687499992</c:v>
                </c:pt>
                <c:pt idx="5">
                  <c:v>75771.978000000003</c:v>
                </c:pt>
                <c:pt idx="6">
                  <c:v>76774.08646666666</c:v>
                </c:pt>
                <c:pt idx="7">
                  <c:v>83119.022283333339</c:v>
                </c:pt>
                <c:pt idx="8">
                  <c:v>88167.425000000003</c:v>
                </c:pt>
                <c:pt idx="9">
                  <c:v>90246.832000000009</c:v>
                </c:pt>
                <c:pt idx="10">
                  <c:v>89795.0484</c:v>
                </c:pt>
                <c:pt idx="11">
                  <c:v>84354.814800000007</c:v>
                </c:pt>
                <c:pt idx="12">
                  <c:v>87284.569846153841</c:v>
                </c:pt>
                <c:pt idx="13">
                  <c:v>87989.155753846149</c:v>
                </c:pt>
                <c:pt idx="14">
                  <c:v>90619.01132307692</c:v>
                </c:pt>
                <c:pt idx="15">
                  <c:v>102675.47247692307</c:v>
                </c:pt>
                <c:pt idx="16">
                  <c:v>103675.25668344335</c:v>
                </c:pt>
              </c:numCache>
            </c:numRef>
          </c:yVal>
        </c:ser>
        <c:ser>
          <c:idx val="7"/>
          <c:order val="3"/>
          <c:tx>
            <c:strRef>
              <c:f>'Vs other districts'!$B$83</c:f>
              <c:strCache>
                <c:ptCount val="1"/>
                <c:pt idx="0">
                  <c:v>Montgomery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districts'!$C$83:$S$83</c:f>
              <c:numCache>
                <c:formatCode>_(* #,##0_);_(* \(#,##0\);_(* "-"??_);_(@_)</c:formatCode>
                <c:ptCount val="17"/>
                <c:pt idx="0">
                  <c:v>64969.797400000003</c:v>
                </c:pt>
                <c:pt idx="1">
                  <c:v>64580.896937499994</c:v>
                </c:pt>
                <c:pt idx="2">
                  <c:v>67871.741020833331</c:v>
                </c:pt>
                <c:pt idx="3">
                  <c:v>71895.72520833333</c:v>
                </c:pt>
                <c:pt idx="4">
                  <c:v>75752.717812499992</c:v>
                </c:pt>
                <c:pt idx="5">
                  <c:v>77909.770312499997</c:v>
                </c:pt>
                <c:pt idx="6">
                  <c:v>79604.350399999996</c:v>
                </c:pt>
                <c:pt idx="7">
                  <c:v>83872.163199999995</c:v>
                </c:pt>
                <c:pt idx="8">
                  <c:v>87923.673599999995</c:v>
                </c:pt>
                <c:pt idx="9">
                  <c:v>94087.563899999994</c:v>
                </c:pt>
                <c:pt idx="10">
                  <c:v>99478.314700000003</c:v>
                </c:pt>
                <c:pt idx="11">
                  <c:v>99486.910311538464</c:v>
                </c:pt>
                <c:pt idx="12">
                  <c:v>99495.505923076926</c:v>
                </c:pt>
                <c:pt idx="13">
                  <c:v>97090.818476923072</c:v>
                </c:pt>
                <c:pt idx="14">
                  <c:v>98051.443184615389</c:v>
                </c:pt>
                <c:pt idx="15">
                  <c:v>102115.86507692307</c:v>
                </c:pt>
                <c:pt idx="16">
                  <c:v>101134.36372962948</c:v>
                </c:pt>
              </c:numCache>
            </c:numRef>
          </c:yVal>
        </c:ser>
        <c:ser>
          <c:idx val="4"/>
          <c:order val="4"/>
          <c:tx>
            <c:strRef>
              <c:f>'Vs other districts'!$B$80</c:f>
              <c:strCache>
                <c:ptCount val="1"/>
                <c:pt idx="0">
                  <c:v>Loudoun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districts'!$C$80:$S$80</c:f>
              <c:numCache>
                <c:formatCode>_(* #,##0_);_(* \(#,##0\);_(* "-"??_);_(@_)</c:formatCode>
                <c:ptCount val="17"/>
                <c:pt idx="0">
                  <c:v>56231.935377777772</c:v>
                </c:pt>
                <c:pt idx="1">
                  <c:v>60303.127833333332</c:v>
                </c:pt>
                <c:pt idx="2">
                  <c:v>64184.373499999994</c:v>
                </c:pt>
                <c:pt idx="3">
                  <c:v>66445.484624999997</c:v>
                </c:pt>
                <c:pt idx="4">
                  <c:v>68580.625208333338</c:v>
                </c:pt>
                <c:pt idx="5">
                  <c:v>72228.558000000005</c:v>
                </c:pt>
                <c:pt idx="6">
                  <c:v>74269.866300000009</c:v>
                </c:pt>
                <c:pt idx="7">
                  <c:v>79674.108899999992</c:v>
                </c:pt>
                <c:pt idx="8">
                  <c:v>82661.628000000012</c:v>
                </c:pt>
                <c:pt idx="9">
                  <c:v>84298.984916666668</c:v>
                </c:pt>
                <c:pt idx="10">
                  <c:v>79775.273066666661</c:v>
                </c:pt>
                <c:pt idx="11">
                  <c:v>74123.531399999993</c:v>
                </c:pt>
                <c:pt idx="12">
                  <c:v>75266.847399999999</c:v>
                </c:pt>
                <c:pt idx="13">
                  <c:v>78686.396923076914</c:v>
                </c:pt>
                <c:pt idx="14">
                  <c:v>80539.288369230766</c:v>
                </c:pt>
                <c:pt idx="15">
                  <c:v>90916.588799999998</c:v>
                </c:pt>
                <c:pt idx="16">
                  <c:v>92247.830453942457</c:v>
                </c:pt>
              </c:numCache>
            </c:numRef>
          </c:yVal>
        </c:ser>
        <c:ser>
          <c:idx val="8"/>
          <c:order val="5"/>
          <c:tx>
            <c:strRef>
              <c:f>'Vs other districts'!$B$84</c:f>
              <c:strCache>
                <c:ptCount val="1"/>
                <c:pt idx="0">
                  <c:v>Prince George's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districts'!$C$84:$S$84</c:f>
              <c:numCache>
                <c:formatCode>_(* #,##0_);_(* \(#,##0\);_(* "-"??_);_(@_)</c:formatCode>
                <c:ptCount val="17"/>
                <c:pt idx="0">
                  <c:v>52133.270400000001</c:v>
                </c:pt>
                <c:pt idx="1">
                  <c:v>52984.610999999997</c:v>
                </c:pt>
                <c:pt idx="2">
                  <c:v>59658.461354166669</c:v>
                </c:pt>
                <c:pt idx="3">
                  <c:v>63600.242687500002</c:v>
                </c:pt>
                <c:pt idx="4">
                  <c:v>63504.368562500007</c:v>
                </c:pt>
                <c:pt idx="5">
                  <c:v>64873.063020833331</c:v>
                </c:pt>
                <c:pt idx="6">
                  <c:v>68279.048200000005</c:v>
                </c:pt>
                <c:pt idx="7">
                  <c:v>74983.261599999998</c:v>
                </c:pt>
                <c:pt idx="8">
                  <c:v>80249.792000000001</c:v>
                </c:pt>
                <c:pt idx="9">
                  <c:v>84624.604149999999</c:v>
                </c:pt>
                <c:pt idx="10">
                  <c:v>85650.482000000004</c:v>
                </c:pt>
                <c:pt idx="11">
                  <c:v>86400.42</c:v>
                </c:pt>
                <c:pt idx="12">
                  <c:v>88366.644</c:v>
                </c:pt>
                <c:pt idx="13">
                  <c:v>88709.860615384605</c:v>
                </c:pt>
                <c:pt idx="14">
                  <c:v>85850.31126153846</c:v>
                </c:pt>
                <c:pt idx="15">
                  <c:v>92875.828800000003</c:v>
                </c:pt>
                <c:pt idx="16">
                  <c:v>90995.134532374097</c:v>
                </c:pt>
              </c:numCache>
            </c:numRef>
          </c:yVal>
        </c:ser>
        <c:ser>
          <c:idx val="2"/>
          <c:order val="6"/>
          <c:tx>
            <c:strRef>
              <c:f>'Vs other districts'!$B$78</c:f>
              <c:strCache>
                <c:ptCount val="1"/>
                <c:pt idx="0">
                  <c:v>Fairfax County</c:v>
                </c:pt>
              </c:strCache>
            </c:strRef>
          </c:tx>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districts'!$C$78:$S$78</c:f>
              <c:numCache>
                <c:formatCode>_(* #,##0_);_(* \(#,##0\);_(* "-"??_);_(@_)</c:formatCode>
                <c:ptCount val="17"/>
                <c:pt idx="0">
                  <c:v>61426.906866666664</c:v>
                </c:pt>
                <c:pt idx="1">
                  <c:v>62857.277249999999</c:v>
                </c:pt>
                <c:pt idx="2">
                  <c:v>63757.353458333331</c:v>
                </c:pt>
                <c:pt idx="3">
                  <c:v>65470.5985</c:v>
                </c:pt>
                <c:pt idx="4">
                  <c:v>71809.438750000001</c:v>
                </c:pt>
                <c:pt idx="5">
                  <c:v>75971.813666666669</c:v>
                </c:pt>
                <c:pt idx="6">
                  <c:v>78151.252200000003</c:v>
                </c:pt>
                <c:pt idx="7">
                  <c:v>82837.414416666667</c:v>
                </c:pt>
                <c:pt idx="8">
                  <c:v>85765.555399999997</c:v>
                </c:pt>
                <c:pt idx="9">
                  <c:v>86767.719500000007</c:v>
                </c:pt>
                <c:pt idx="10">
                  <c:v>84234.712100000004</c:v>
                </c:pt>
                <c:pt idx="11">
                  <c:v>79124.262000000002</c:v>
                </c:pt>
                <c:pt idx="12">
                  <c:v>81461.054815384618</c:v>
                </c:pt>
                <c:pt idx="13">
                  <c:v>85560.997953846148</c:v>
                </c:pt>
                <c:pt idx="14">
                  <c:v>88378.387384615387</c:v>
                </c:pt>
                <c:pt idx="15">
                  <c:v>93885.771338461534</c:v>
                </c:pt>
                <c:pt idx="16">
                  <c:v>90744.955637214953</c:v>
                </c:pt>
              </c:numCache>
            </c:numRef>
          </c:yVal>
        </c:ser>
        <c:ser>
          <c:idx val="5"/>
          <c:order val="7"/>
          <c:tx>
            <c:strRef>
              <c:f>'Vs other districts'!$B$81</c:f>
              <c:strCache>
                <c:ptCount val="1"/>
                <c:pt idx="0">
                  <c:v>Manassas City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districts'!$C$81:$S$81</c:f>
              <c:numCache>
                <c:formatCode>_(* #,##0_);_(* \(#,##0\);_(* "-"??_);_(@_)</c:formatCode>
                <c:ptCount val="17"/>
                <c:pt idx="0">
                  <c:v>55036.74244444444</c:v>
                </c:pt>
                <c:pt idx="1">
                  <c:v>56747.782916666663</c:v>
                </c:pt>
                <c:pt idx="2">
                  <c:v>58324.912916666668</c:v>
                </c:pt>
                <c:pt idx="3">
                  <c:v>64014.335666666673</c:v>
                </c:pt>
                <c:pt idx="4">
                  <c:v>67720.818687499996</c:v>
                </c:pt>
                <c:pt idx="5">
                  <c:v>72468.335624999992</c:v>
                </c:pt>
                <c:pt idx="6">
                  <c:v>73113.031800000012</c:v>
                </c:pt>
                <c:pt idx="7">
                  <c:v>78082.305699999997</c:v>
                </c:pt>
                <c:pt idx="8">
                  <c:v>82344.377500000002</c:v>
                </c:pt>
                <c:pt idx="9">
                  <c:v>85536.130799999999</c:v>
                </c:pt>
                <c:pt idx="10">
                  <c:v>79892.361499999999</c:v>
                </c:pt>
                <c:pt idx="11">
                  <c:v>76932.966</c:v>
                </c:pt>
                <c:pt idx="12">
                  <c:v>72444.832600000009</c:v>
                </c:pt>
                <c:pt idx="13">
                  <c:v>74549.224199999997</c:v>
                </c:pt>
                <c:pt idx="14">
                  <c:v>81493.978246153842</c:v>
                </c:pt>
                <c:pt idx="15">
                  <c:v>89041.394830769234</c:v>
                </c:pt>
                <c:pt idx="16">
                  <c:v>88962.285054818232</c:v>
                </c:pt>
              </c:numCache>
            </c:numRef>
          </c:yVal>
        </c:ser>
        <c:ser>
          <c:idx val="9"/>
          <c:order val="8"/>
          <c:tx>
            <c:strRef>
              <c:f>'Vs other districts'!$B$85</c:f>
              <c:strCache>
                <c:ptCount val="1"/>
                <c:pt idx="0">
                  <c:v>Prince William County</c:v>
                </c:pt>
              </c:strCache>
            </c:strRef>
          </c:tx>
          <c:marker>
            <c:symbol val="none"/>
          </c:marker>
          <c:xVal>
            <c:numRef>
              <c:f>'Vs other districts'!$C$75:$S$75</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xVal>
          <c:yVal>
            <c:numRef>
              <c:f>'Vs other districts'!$C$85:$S$85</c:f>
              <c:numCache>
                <c:formatCode>_(* #,##0_);_(* \(#,##0\);_(* "-"??_);_(@_)</c:formatCode>
                <c:ptCount val="17"/>
                <c:pt idx="0">
                  <c:v>56020.185399999995</c:v>
                </c:pt>
                <c:pt idx="1">
                  <c:v>58371.738750000004</c:v>
                </c:pt>
                <c:pt idx="2">
                  <c:v>62262.200104166666</c:v>
                </c:pt>
                <c:pt idx="3">
                  <c:v>64707.920749999997</c:v>
                </c:pt>
                <c:pt idx="4">
                  <c:v>68482.63</c:v>
                </c:pt>
                <c:pt idx="5">
                  <c:v>70982.40770833334</c:v>
                </c:pt>
                <c:pt idx="6">
                  <c:v>71863.591416666663</c:v>
                </c:pt>
                <c:pt idx="7">
                  <c:v>76000.546499999997</c:v>
                </c:pt>
                <c:pt idx="8">
                  <c:v>80686.625833333339</c:v>
                </c:pt>
                <c:pt idx="9">
                  <c:v>81393.779600000009</c:v>
                </c:pt>
                <c:pt idx="10">
                  <c:v>81567.899699999994</c:v>
                </c:pt>
                <c:pt idx="11">
                  <c:v>78329.941200000001</c:v>
                </c:pt>
                <c:pt idx="12">
                  <c:v>80908.348553846154</c:v>
                </c:pt>
                <c:pt idx="13">
                  <c:v>82807.276076923081</c:v>
                </c:pt>
                <c:pt idx="14">
                  <c:v>85772.334953846163</c:v>
                </c:pt>
                <c:pt idx="15">
                  <c:v>90563.33332307692</c:v>
                </c:pt>
                <c:pt idx="16">
                  <c:v>84714.394579002794</c:v>
                </c:pt>
              </c:numCache>
            </c:numRef>
          </c:yVal>
        </c:ser>
        <c:ser>
          <c:idx val="6"/>
          <c:order val="9"/>
          <c:tx>
            <c:strRef>
              <c:f>'Vs other districts'!$B$82</c:f>
              <c:strCache>
                <c:ptCount val="1"/>
                <c:pt idx="0">
                  <c:v>Manassas Park City</c:v>
                </c:pt>
              </c:strCache>
            </c:strRef>
          </c:tx>
          <c:marker>
            <c:symbol val="none"/>
          </c:marker>
          <c:xVal>
            <c:numRef>
              <c:f>'Vs other districts'!$O$75:$S$75</c:f>
              <c:numCache>
                <c:formatCode>General</c:formatCode>
                <c:ptCount val="5"/>
                <c:pt idx="0">
                  <c:v>2012</c:v>
                </c:pt>
                <c:pt idx="1">
                  <c:v>2013</c:v>
                </c:pt>
                <c:pt idx="2">
                  <c:v>2014</c:v>
                </c:pt>
                <c:pt idx="3">
                  <c:v>2015</c:v>
                </c:pt>
                <c:pt idx="4">
                  <c:v>2016</c:v>
                </c:pt>
              </c:numCache>
            </c:numRef>
          </c:xVal>
          <c:yVal>
            <c:numRef>
              <c:f>'Vs other districts'!$O$82:$S$82</c:f>
              <c:numCache>
                <c:formatCode>_(* #,##0_);_(* \(#,##0\);_(* "-"??_);_(@_)</c:formatCode>
                <c:ptCount val="5"/>
                <c:pt idx="0">
                  <c:v>76218.410230769237</c:v>
                </c:pt>
                <c:pt idx="1">
                  <c:v>77226.545630769237</c:v>
                </c:pt>
                <c:pt idx="2">
                  <c:v>77528.243953846148</c:v>
                </c:pt>
                <c:pt idx="3">
                  <c:v>82616.653969230771</c:v>
                </c:pt>
                <c:pt idx="4">
                  <c:v>84032.765498932902</c:v>
                </c:pt>
              </c:numCache>
            </c:numRef>
          </c:yVal>
        </c:ser>
        <c:axId val="183101312"/>
        <c:axId val="183488512"/>
      </c:scatterChart>
      <c:valAx>
        <c:axId val="183101312"/>
        <c:scaling>
          <c:orientation val="minMax"/>
          <c:max val="2016"/>
          <c:min val="1996"/>
        </c:scaling>
        <c:axPos val="b"/>
        <c:majorGridlines/>
        <c:title>
          <c:tx>
            <c:rich>
              <a:bodyPr/>
              <a:lstStyle/>
              <a:p>
                <a:pPr>
                  <a:defRPr/>
                </a:pPr>
                <a:r>
                  <a:rPr lang="en-US"/>
                  <a:t>Fiscal Year</a:t>
                </a:r>
              </a:p>
            </c:rich>
          </c:tx>
          <c:layout/>
        </c:title>
        <c:numFmt formatCode="General" sourceLinked="1"/>
        <c:tickLblPos val="nextTo"/>
        <c:crossAx val="183488512"/>
        <c:crosses val="autoZero"/>
        <c:crossBetween val="midCat"/>
        <c:majorUnit val="4"/>
      </c:valAx>
      <c:valAx>
        <c:axId val="183488512"/>
        <c:scaling>
          <c:orientation val="minMax"/>
        </c:scaling>
        <c:axPos val="l"/>
        <c:majorGridlines/>
        <c:numFmt formatCode="_(* #,##0_);_(* \(#,##0\);_(* &quot;-&quot;??_);_(@_)" sourceLinked="1"/>
        <c:tickLblPos val="nextTo"/>
        <c:crossAx val="183101312"/>
        <c:crosses val="autoZero"/>
        <c:crossBetween val="midCat"/>
      </c:valAx>
    </c:plotArea>
    <c:legend>
      <c:legendPos val="r"/>
      <c:layout>
        <c:manualLayout>
          <c:xMode val="edge"/>
          <c:yMode val="edge"/>
          <c:x val="0.65063880399271401"/>
          <c:y val="0.11750424813919542"/>
          <c:w val="0.33269444444444607"/>
          <c:h val="0.82405074365704289"/>
        </c:manualLayout>
      </c:layout>
    </c:legend>
    <c:plotVisOnly val="1"/>
  </c:chart>
  <c:printSettings>
    <c:headerFooter/>
    <c:pageMargins b="0.75000000000000266" l="0.70000000000000062" r="0.70000000000000062" t="0.75000000000000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a:t>Salary History for Teacher Starting</a:t>
            </a:r>
            <a:r>
              <a:rPr lang="en-US" sz="1200" baseline="0"/>
              <a:t> with a Masters Degree in 2003 (Avg increase = 4.7% per year)</a:t>
            </a:r>
            <a:endParaRPr lang="en-US" sz="1200"/>
          </a:p>
        </c:rich>
      </c:tx>
      <c:layout>
        <c:manualLayout>
          <c:xMode val="edge"/>
          <c:yMode val="edge"/>
          <c:x val="0.10932633420822439"/>
          <c:y val="2.7681660899654181E-2"/>
        </c:manualLayout>
      </c:layout>
    </c:title>
    <c:plotArea>
      <c:layout/>
      <c:scatterChart>
        <c:scatterStyle val="lineMarker"/>
        <c:ser>
          <c:idx val="0"/>
          <c:order val="0"/>
          <c:tx>
            <c:strRef>
              <c:f>'Teacher pay scales'!$D$39</c:f>
              <c:strCache>
                <c:ptCount val="1"/>
              </c:strCache>
            </c:strRef>
          </c:tx>
          <c:marker>
            <c:symbol val="none"/>
          </c:marker>
          <c:xVal>
            <c:numRef>
              <c:f>'Teacher pay scales'!$C$43:$C$56</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xVal>
          <c:yVal>
            <c:numRef>
              <c:f>'Teacher pay scales'!$D$43:$D$56</c:f>
              <c:numCache>
                <c:formatCode>"$"#,##0_);[Red]\("$"#,##0\)</c:formatCode>
                <c:ptCount val="14"/>
                <c:pt idx="0">
                  <c:v>39184</c:v>
                </c:pt>
                <c:pt idx="1">
                  <c:v>39017</c:v>
                </c:pt>
                <c:pt idx="2">
                  <c:v>46723</c:v>
                </c:pt>
                <c:pt idx="3">
                  <c:v>51946</c:v>
                </c:pt>
                <c:pt idx="4">
                  <c:v>51771</c:v>
                </c:pt>
                <c:pt idx="5">
                  <c:v>54813</c:v>
                </c:pt>
                <c:pt idx="6">
                  <c:v>57524</c:v>
                </c:pt>
                <c:pt idx="7">
                  <c:v>57524</c:v>
                </c:pt>
                <c:pt idx="8">
                  <c:v>57524</c:v>
                </c:pt>
                <c:pt idx="9">
                  <c:v>59783</c:v>
                </c:pt>
                <c:pt idx="10">
                  <c:v>62750.400000000001</c:v>
                </c:pt>
                <c:pt idx="11">
                  <c:v>63578.111111111109</c:v>
                </c:pt>
                <c:pt idx="12">
                  <c:v>66734</c:v>
                </c:pt>
                <c:pt idx="13">
                  <c:v>71125</c:v>
                </c:pt>
              </c:numCache>
            </c:numRef>
          </c:yVal>
        </c:ser>
        <c:axId val="183509760"/>
        <c:axId val="183511680"/>
      </c:scatterChart>
      <c:valAx>
        <c:axId val="183509760"/>
        <c:scaling>
          <c:orientation val="minMax"/>
          <c:min val="2000"/>
        </c:scaling>
        <c:axPos val="b"/>
        <c:majorGridlines/>
        <c:title>
          <c:tx>
            <c:rich>
              <a:bodyPr/>
              <a:lstStyle/>
              <a:p>
                <a:pPr>
                  <a:defRPr/>
                </a:pPr>
                <a:r>
                  <a:rPr lang="en-US"/>
                  <a:t>Fiscal year</a:t>
                </a:r>
              </a:p>
            </c:rich>
          </c:tx>
          <c:layout/>
        </c:title>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3511680"/>
        <c:crosses val="autoZero"/>
        <c:crossBetween val="midCat"/>
      </c:valAx>
      <c:valAx>
        <c:axId val="183511680"/>
        <c:scaling>
          <c:orientation val="minMax"/>
        </c:scaling>
        <c:axPos val="l"/>
        <c:majorGridlines/>
        <c:numFmt formatCode="&quot;$&quot;#,##0_);[Red]\(&quot;$&quot;#,##0\)" sourceLinked="1"/>
        <c:tickLblPos val="nextTo"/>
        <c:crossAx val="183509760"/>
        <c:crosses val="autoZero"/>
        <c:crossBetween val="midCat"/>
      </c:valAx>
    </c:plotArea>
    <c:plotVisOnly val="1"/>
    <c:dispBlanksAs val="gap"/>
  </c:chart>
  <c:printSettings>
    <c:headerFooter/>
    <c:pageMargins b="0.750000000000006" l="0.70000000000000062" r="0.70000000000000062" t="0.75000000000000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scatterChart>
        <c:scatterStyle val="lineMarker"/>
        <c:ser>
          <c:idx val="1"/>
          <c:order val="0"/>
          <c:tx>
            <c:v>Percent of county population that is Hispanic</c:v>
          </c:tx>
          <c:marker>
            <c:symbol val="none"/>
          </c:marker>
          <c:xVal>
            <c:numRef>
              <c:f>'Derived data'!$D$6:$T$6</c:f>
              <c:numCache>
                <c:formatCode>0</c:formatCode>
                <c:ptCount val="17"/>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pt idx="14">
                  <c:v>2002</c:v>
                </c:pt>
                <c:pt idx="15">
                  <c:v>2001</c:v>
                </c:pt>
                <c:pt idx="16" formatCode="General">
                  <c:v>2000</c:v>
                </c:pt>
              </c:numCache>
            </c:numRef>
          </c:xVal>
          <c:yVal>
            <c:numRef>
              <c:f>'Derived data'!$D$29:$T$29</c:f>
              <c:numCache>
                <c:formatCode>_(* #,##0_);_(* \(#,##0\);_(* "-"??_);_(@_)</c:formatCode>
                <c:ptCount val="17"/>
                <c:pt idx="2" formatCode="0.0%">
                  <c:v>0.16386441595797238</c:v>
                </c:pt>
                <c:pt idx="3" formatCode="0.0%">
                  <c:v>0.16213114232256101</c:v>
                </c:pt>
                <c:pt idx="4" formatCode="0.0%">
                  <c:v>0.16084183650663952</c:v>
                </c:pt>
                <c:pt idx="5" formatCode="0.0%">
                  <c:v>0.15797879879203264</c:v>
                </c:pt>
                <c:pt idx="6" formatCode="0.0%">
                  <c:v>0.15607553947897526</c:v>
                </c:pt>
                <c:pt idx="7" formatCode="0.0%">
                  <c:v>0.15140250866177399</c:v>
                </c:pt>
                <c:pt idx="8" formatCode="0.0%">
                  <c:v>0.1410013966287863</c:v>
                </c:pt>
                <c:pt idx="9" formatCode="0.0%">
                  <c:v>0.13579235053813893</c:v>
                </c:pt>
                <c:pt idx="10" formatCode="0.0%">
                  <c:v>0.12940165848048826</c:v>
                </c:pt>
                <c:pt idx="11" formatCode="0.0%">
                  <c:v>0.12584485676235868</c:v>
                </c:pt>
                <c:pt idx="16" formatCode="0.0%">
                  <c:v>0.11</c:v>
                </c:pt>
              </c:numCache>
            </c:numRef>
          </c:yVal>
        </c:ser>
        <c:ser>
          <c:idx val="0"/>
          <c:order val="1"/>
          <c:tx>
            <c:v>Percent of children ages 6 to 17 living below poverty line</c:v>
          </c:tx>
          <c:marker>
            <c:symbol val="none"/>
          </c:marker>
          <c:xVal>
            <c:numRef>
              <c:f>'Derived data'!$D$6:$T$6</c:f>
              <c:numCache>
                <c:formatCode>0</c:formatCode>
                <c:ptCount val="17"/>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pt idx="14">
                  <c:v>2002</c:v>
                </c:pt>
                <c:pt idx="15">
                  <c:v>2001</c:v>
                </c:pt>
                <c:pt idx="16" formatCode="General">
                  <c:v>2000</c:v>
                </c:pt>
              </c:numCache>
            </c:numRef>
          </c:xVal>
          <c:yVal>
            <c:numRef>
              <c:f>'Derived data'!$D$33:$T$33</c:f>
              <c:numCache>
                <c:formatCode>_(* #,##0_);_(* \(#,##0\);_(* "-"??_);_(@_)</c:formatCode>
                <c:ptCount val="17"/>
                <c:pt idx="2" formatCode="0.0%">
                  <c:v>5.667159053278216E-2</c:v>
                </c:pt>
                <c:pt idx="3" formatCode="0.0%">
                  <c:v>4.4895187349348137E-2</c:v>
                </c:pt>
                <c:pt idx="4" formatCode="0.0%">
                  <c:v>5.0760536260504044E-2</c:v>
                </c:pt>
                <c:pt idx="5" formatCode="0.0%">
                  <c:v>5.4890780292619221E-2</c:v>
                </c:pt>
                <c:pt idx="6" formatCode="0.0%">
                  <c:v>4.1105211965568808E-2</c:v>
                </c:pt>
                <c:pt idx="7" formatCode="0.0%">
                  <c:v>3.8746349399243415E-2</c:v>
                </c:pt>
                <c:pt idx="8" formatCode="0.0%">
                  <c:v>3.6926781399721276E-2</c:v>
                </c:pt>
                <c:pt idx="9" formatCode="0.0%">
                  <c:v>3.932561179110735E-2</c:v>
                </c:pt>
                <c:pt idx="10" formatCode="0.0%">
                  <c:v>3.2490630377845164E-2</c:v>
                </c:pt>
                <c:pt idx="11" formatCode="0.0%">
                  <c:v>6.2705958032905934E-2</c:v>
                </c:pt>
              </c:numCache>
            </c:numRef>
          </c:yVal>
        </c:ser>
        <c:axId val="183547392"/>
        <c:axId val="183548928"/>
      </c:scatterChart>
      <c:valAx>
        <c:axId val="183547392"/>
        <c:scaling>
          <c:orientation val="minMax"/>
        </c:scaling>
        <c:axPos val="b"/>
        <c:majorGridlines/>
        <c:numFmt formatCode="0" sourceLinked="1"/>
        <c:tickLblPos val="nextTo"/>
        <c:crossAx val="183548928"/>
        <c:crosses val="autoZero"/>
        <c:crossBetween val="midCat"/>
      </c:valAx>
      <c:valAx>
        <c:axId val="183548928"/>
        <c:scaling>
          <c:orientation val="minMax"/>
        </c:scaling>
        <c:axPos val="l"/>
        <c:majorGridlines/>
        <c:numFmt formatCode="0%" sourceLinked="0"/>
        <c:tickLblPos val="nextTo"/>
        <c:crossAx val="183547392"/>
        <c:crosses val="autoZero"/>
        <c:crossBetween val="midCat"/>
      </c:valAx>
    </c:plotArea>
    <c:legend>
      <c:legendPos val="r"/>
      <c:layout/>
    </c:legend>
    <c:plotVisOnly val="1"/>
  </c:chart>
  <c:printSettings>
    <c:headerFooter/>
    <c:pageMargins b="0.75000000000000144" l="0.70000000000000062" r="0.70000000000000062" t="0.75000000000000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Classroom Teachers as a Percent of All Teachers</a:t>
            </a:r>
          </a:p>
        </c:rich>
      </c:tx>
      <c:layout/>
    </c:title>
    <c:plotArea>
      <c:layout/>
      <c:scatterChart>
        <c:scatterStyle val="lineMarker"/>
        <c:ser>
          <c:idx val="0"/>
          <c:order val="0"/>
          <c:tx>
            <c:strRef>
              <c:f>Positions!$B$240</c:f>
              <c:strCache>
                <c:ptCount val="1"/>
              </c:strCache>
            </c:strRef>
          </c:tx>
          <c:marker>
            <c:symbol val="none"/>
          </c:marker>
          <c:xVal>
            <c:numRef>
              <c:f>Positions!$C$4:$S$4</c:f>
              <c:numCache>
                <c:formatCode>General</c:formatCode>
                <c:ptCount val="17"/>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numCache>
            </c:numRef>
          </c:xVal>
          <c:yVal>
            <c:numRef>
              <c:f>'Derived data'!$C$23:$S$23</c:f>
              <c:numCache>
                <c:formatCode>0%</c:formatCode>
                <c:ptCount val="17"/>
                <c:pt idx="0">
                  <c:v>0.62499590692678975</c:v>
                </c:pt>
                <c:pt idx="1">
                  <c:v>0.63211249398154568</c:v>
                </c:pt>
                <c:pt idx="2">
                  <c:v>0.63050123895712129</c:v>
                </c:pt>
                <c:pt idx="3">
                  <c:v>0.63825540096669964</c:v>
                </c:pt>
                <c:pt idx="4">
                  <c:v>0.64136806711272631</c:v>
                </c:pt>
                <c:pt idx="5">
                  <c:v>0.63238200317032456</c:v>
                </c:pt>
                <c:pt idx="6">
                  <c:v>0.62785133882706246</c:v>
                </c:pt>
                <c:pt idx="7">
                  <c:v>0.62614165652265819</c:v>
                </c:pt>
                <c:pt idx="8">
                  <c:v>0.61947727554089382</c:v>
                </c:pt>
                <c:pt idx="9">
                  <c:v>0.61855737752728701</c:v>
                </c:pt>
                <c:pt idx="10">
                  <c:v>0.62013736708190548</c:v>
                </c:pt>
                <c:pt idx="11">
                  <c:v>0.60906031619796608</c:v>
                </c:pt>
                <c:pt idx="12">
                  <c:v>0.61298829856391468</c:v>
                </c:pt>
                <c:pt idx="13">
                  <c:v>0.5910457609453611</c:v>
                </c:pt>
                <c:pt idx="14">
                  <c:v>0.58745917501013445</c:v>
                </c:pt>
                <c:pt idx="15">
                  <c:v>0.58005381249130195</c:v>
                </c:pt>
                <c:pt idx="16">
                  <c:v>0.58759833924758076</c:v>
                </c:pt>
              </c:numCache>
            </c:numRef>
          </c:yVal>
        </c:ser>
        <c:ser>
          <c:idx val="1"/>
          <c:order val="1"/>
          <c:tx>
            <c:strRef>
              <c:f>Positions!$B$241</c:f>
              <c:strCache>
                <c:ptCount val="1"/>
              </c:strCache>
            </c:strRef>
          </c:tx>
          <c:marker>
            <c:symbol val="none"/>
          </c:marker>
          <c:xVal>
            <c:numRef>
              <c:f>Positions!$C$4:$S$4</c:f>
              <c:numCache>
                <c:formatCode>General</c:formatCode>
                <c:ptCount val="17"/>
                <c:pt idx="0">
                  <c:v>2017</c:v>
                </c:pt>
                <c:pt idx="1">
                  <c:v>2016</c:v>
                </c:pt>
                <c:pt idx="2">
                  <c:v>2015</c:v>
                </c:pt>
                <c:pt idx="3">
                  <c:v>2014</c:v>
                </c:pt>
                <c:pt idx="4">
                  <c:v>2013</c:v>
                </c:pt>
                <c:pt idx="5">
                  <c:v>2012</c:v>
                </c:pt>
                <c:pt idx="6">
                  <c:v>2011</c:v>
                </c:pt>
                <c:pt idx="7">
                  <c:v>2010</c:v>
                </c:pt>
                <c:pt idx="8">
                  <c:v>2009</c:v>
                </c:pt>
                <c:pt idx="9">
                  <c:v>2008</c:v>
                </c:pt>
                <c:pt idx="10">
                  <c:v>2007</c:v>
                </c:pt>
                <c:pt idx="11">
                  <c:v>2006</c:v>
                </c:pt>
                <c:pt idx="12">
                  <c:v>2005</c:v>
                </c:pt>
                <c:pt idx="13">
                  <c:v>2004</c:v>
                </c:pt>
                <c:pt idx="14">
                  <c:v>2003</c:v>
                </c:pt>
                <c:pt idx="15">
                  <c:v>2002</c:v>
                </c:pt>
                <c:pt idx="16">
                  <c:v>2001</c:v>
                </c:pt>
              </c:numCache>
            </c:numRef>
          </c:xVal>
          <c:yVal>
            <c:numRef>
              <c:f>'Derived data'!$C$24:$S$24</c:f>
              <c:numCache>
                <c:formatCode>0%</c:formatCode>
                <c:ptCount val="17"/>
                <c:pt idx="0">
                  <c:v>0.20257765378494669</c:v>
                </c:pt>
                <c:pt idx="1">
                  <c:v>0.20244431693015957</c:v>
                </c:pt>
                <c:pt idx="2">
                  <c:v>0.20399698340874811</c:v>
                </c:pt>
                <c:pt idx="3">
                  <c:v>0.20023633401874655</c:v>
                </c:pt>
                <c:pt idx="4">
                  <c:v>0.2002037835818361</c:v>
                </c:pt>
                <c:pt idx="5">
                  <c:v>0.20100137566950413</c:v>
                </c:pt>
                <c:pt idx="6">
                  <c:v>0.20217114858214372</c:v>
                </c:pt>
                <c:pt idx="7">
                  <c:v>0.2019957577392103</c:v>
                </c:pt>
                <c:pt idx="8">
                  <c:v>0.2007733816878946</c:v>
                </c:pt>
                <c:pt idx="9">
                  <c:v>0.19826033699590964</c:v>
                </c:pt>
                <c:pt idx="10">
                  <c:v>0.20041033635815453</c:v>
                </c:pt>
                <c:pt idx="11">
                  <c:v>0.20144181559782329</c:v>
                </c:pt>
                <c:pt idx="12">
                  <c:v>0.20346019738786122</c:v>
                </c:pt>
                <c:pt idx="13">
                  <c:v>0.20682777598656332</c:v>
                </c:pt>
                <c:pt idx="14">
                  <c:v>0.20666814541727535</c:v>
                </c:pt>
                <c:pt idx="15">
                  <c:v>0.21150783219162195</c:v>
                </c:pt>
                <c:pt idx="16">
                  <c:v>0.20194177840228</c:v>
                </c:pt>
              </c:numCache>
            </c:numRef>
          </c:yVal>
        </c:ser>
        <c:axId val="183606272"/>
        <c:axId val="183628544"/>
      </c:scatterChart>
      <c:valAx>
        <c:axId val="183606272"/>
        <c:scaling>
          <c:orientation val="minMax"/>
        </c:scaling>
        <c:axPos val="b"/>
        <c:majorGridlines/>
        <c:numFmt formatCode="General" sourceLinked="1"/>
        <c:tickLblPos val="nextTo"/>
        <c:crossAx val="183628544"/>
        <c:crosses val="autoZero"/>
        <c:crossBetween val="midCat"/>
      </c:valAx>
      <c:valAx>
        <c:axId val="183628544"/>
        <c:scaling>
          <c:orientation val="minMax"/>
        </c:scaling>
        <c:axPos val="l"/>
        <c:majorGridlines/>
        <c:numFmt formatCode="0%" sourceLinked="0"/>
        <c:tickLblPos val="nextTo"/>
        <c:crossAx val="183606272"/>
        <c:crosses val="autoZero"/>
        <c:crossBetween val="midCat"/>
      </c:valAx>
    </c:plotArea>
    <c:legend>
      <c:legendPos val="r"/>
      <c:layout/>
    </c:legend>
    <c:plotVisOnly val="1"/>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xdr:col>
      <xdr:colOff>19049</xdr:colOff>
      <xdr:row>24</xdr:row>
      <xdr:rowOff>76200</xdr:rowOff>
    </xdr:from>
    <xdr:to>
      <xdr:col>9</xdr:col>
      <xdr:colOff>333374</xdr:colOff>
      <xdr:row>43</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457199</xdr:colOff>
      <xdr:row>0</xdr:row>
      <xdr:rowOff>152399</xdr:rowOff>
    </xdr:from>
    <xdr:to>
      <xdr:col>17</xdr:col>
      <xdr:colOff>295274</xdr:colOff>
      <xdr:row>20</xdr:row>
      <xdr:rowOff>66674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447675</xdr:colOff>
      <xdr:row>23</xdr:row>
      <xdr:rowOff>152400</xdr:rowOff>
    </xdr:from>
    <xdr:to>
      <xdr:col>17</xdr:col>
      <xdr:colOff>323850</xdr:colOff>
      <xdr:row>43</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200024</xdr:colOff>
      <xdr:row>73</xdr:row>
      <xdr:rowOff>0</xdr:rowOff>
    </xdr:from>
    <xdr:to>
      <xdr:col>8</xdr:col>
      <xdr:colOff>228599</xdr:colOff>
      <xdr:row>92</xdr:row>
      <xdr:rowOff>66675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542925</xdr:colOff>
      <xdr:row>73</xdr:row>
      <xdr:rowOff>47624</xdr:rowOff>
    </xdr:from>
    <xdr:to>
      <xdr:col>17</xdr:col>
      <xdr:colOff>238125</xdr:colOff>
      <xdr:row>92</xdr:row>
      <xdr:rowOff>76200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257175</xdr:colOff>
      <xdr:row>49</xdr:row>
      <xdr:rowOff>133349</xdr:rowOff>
    </xdr:from>
    <xdr:to>
      <xdr:col>9</xdr:col>
      <xdr:colOff>276225</xdr:colOff>
      <xdr:row>69</xdr:row>
      <xdr:rowOff>28574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561975</xdr:colOff>
      <xdr:row>50</xdr:row>
      <xdr:rowOff>9525</xdr:rowOff>
    </xdr:from>
    <xdr:to>
      <xdr:col>17</xdr:col>
      <xdr:colOff>409575</xdr:colOff>
      <xdr:row>69</xdr:row>
      <xdr:rowOff>47625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24</xdr:row>
      <xdr:rowOff>0</xdr:rowOff>
    </xdr:from>
    <xdr:to>
      <xdr:col>25</xdr:col>
      <xdr:colOff>304800</xdr:colOff>
      <xdr:row>42</xdr:row>
      <xdr:rowOff>123826</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49</xdr:row>
      <xdr:rowOff>161924</xdr:rowOff>
    </xdr:from>
    <xdr:to>
      <xdr:col>25</xdr:col>
      <xdr:colOff>304800</xdr:colOff>
      <xdr:row>69</xdr:row>
      <xdr:rowOff>38099</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0</xdr:row>
      <xdr:rowOff>133350</xdr:rowOff>
    </xdr:from>
    <xdr:to>
      <xdr:col>9</xdr:col>
      <xdr:colOff>419100</xdr:colOff>
      <xdr:row>20</xdr:row>
      <xdr:rowOff>95250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19049</xdr:colOff>
      <xdr:row>38</xdr:row>
      <xdr:rowOff>76200</xdr:rowOff>
    </xdr:from>
    <xdr:to>
      <xdr:col>12</xdr:col>
      <xdr:colOff>180974</xdr:colOff>
      <xdr:row>55</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22</xdr:row>
      <xdr:rowOff>47625</xdr:rowOff>
    </xdr:from>
    <xdr:to>
      <xdr:col>12</xdr:col>
      <xdr:colOff>180975</xdr:colOff>
      <xdr:row>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561974</xdr:colOff>
      <xdr:row>38</xdr:row>
      <xdr:rowOff>57150</xdr:rowOff>
    </xdr:from>
    <xdr:to>
      <xdr:col>6</xdr:col>
      <xdr:colOff>447675</xdr:colOff>
      <xdr:row>55</xdr:row>
      <xdr:rowOff>76200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561975</xdr:colOff>
      <xdr:row>22</xdr:row>
      <xdr:rowOff>57150</xdr:rowOff>
    </xdr:from>
    <xdr:to>
      <xdr:col>6</xdr:col>
      <xdr:colOff>438150</xdr:colOff>
      <xdr:row>37</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89</xdr:row>
      <xdr:rowOff>142875</xdr:rowOff>
    </xdr:from>
    <xdr:to>
      <xdr:col>13</xdr:col>
      <xdr:colOff>304800</xdr:colOff>
      <xdr:row>106</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400050</xdr:colOff>
      <xdr:row>53</xdr:row>
      <xdr:rowOff>161925</xdr:rowOff>
    </xdr:from>
    <xdr:to>
      <xdr:col>20</xdr:col>
      <xdr:colOff>19050</xdr:colOff>
      <xdr:row>66</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914400</xdr:colOff>
      <xdr:row>91</xdr:row>
      <xdr:rowOff>0</xdr:rowOff>
    </xdr:from>
    <xdr:to>
      <xdr:col>4</xdr:col>
      <xdr:colOff>171450</xdr:colOff>
      <xdr:row>107</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108</xdr:row>
      <xdr:rowOff>0</xdr:rowOff>
    </xdr:from>
    <xdr:to>
      <xdr:col>12</xdr:col>
      <xdr:colOff>285750</xdr:colOff>
      <xdr:row>124</xdr:row>
      <xdr:rowOff>152400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39</xdr:row>
      <xdr:rowOff>57150</xdr:rowOff>
    </xdr:from>
    <xdr:to>
      <xdr:col>12</xdr:col>
      <xdr:colOff>285750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609599</xdr:colOff>
      <xdr:row>17</xdr:row>
      <xdr:rowOff>85725</xdr:rowOff>
    </xdr:from>
    <xdr:to>
      <xdr:col>18</xdr:col>
      <xdr:colOff>419100</xdr:colOff>
      <xdr:row>31</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142875</xdr:colOff>
      <xdr:row>5</xdr:row>
      <xdr:rowOff>114300</xdr:rowOff>
    </xdr:from>
    <xdr:to>
      <xdr:col>40</xdr:col>
      <xdr:colOff>447675</xdr:colOff>
      <xdr:row>20</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342900</xdr:colOff>
      <xdr:row>106</xdr:row>
      <xdr:rowOff>161925</xdr:rowOff>
    </xdr:from>
    <xdr:to>
      <xdr:col>23</xdr:col>
      <xdr:colOff>28575</xdr:colOff>
      <xdr:row>128</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106</xdr:row>
      <xdr:rowOff>152399</xdr:rowOff>
    </xdr:from>
    <xdr:to>
      <xdr:col>8</xdr:col>
      <xdr:colOff>142875</xdr:colOff>
      <xdr:row>125</xdr:row>
      <xdr:rowOff>38100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87</xdr:row>
      <xdr:rowOff>47625</xdr:rowOff>
    </xdr:from>
    <xdr:to>
      <xdr:col>8</xdr:col>
      <xdr:colOff>228600</xdr:colOff>
      <xdr:row>102</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390525</xdr:colOff>
      <xdr:row>87</xdr:row>
      <xdr:rowOff>28575</xdr:rowOff>
    </xdr:from>
    <xdr:to>
      <xdr:col>23</xdr:col>
      <xdr:colOff>47625</xdr:colOff>
      <xdr:row>102</xdr:row>
      <xdr:rowOff>171450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257175</xdr:colOff>
      <xdr:row>87</xdr:row>
      <xdr:rowOff>38100</xdr:rowOff>
    </xdr:from>
    <xdr:to>
      <xdr:col>16</xdr:col>
      <xdr:colOff>361950</xdr:colOff>
      <xdr:row>102</xdr:row>
      <xdr:rowOff>180975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litics/FC%20Fed%20Citizens%20Assoc/Budget/Budgets%202000%20to%202017%20FCPS/2015%20Budget%20analysi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st per student"/>
      <sheetName val="Teacher pay increase"/>
      <sheetName val="Comments"/>
      <sheetName val="Sheet1"/>
      <sheetName val="Sheet2"/>
    </sheetNames>
    <sheetDataSet>
      <sheetData sheetId="0" refreshError="1"/>
      <sheetData sheetId="1" refreshError="1"/>
      <sheetData sheetId="2" refreshError="1"/>
      <sheetData sheetId="3" refreshError="1"/>
      <sheetData sheetId="4" refreshError="1">
        <row r="7">
          <cell r="O7">
            <v>2011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fcps.edu/fs/budget/wabe/" TargetMode="External"/><Relationship Id="rId1" Type="http://schemas.openxmlformats.org/officeDocument/2006/relationships/hyperlink" Target="http://www.fcps.edu/fs/budget/budgetdocuments.s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bls.gov/news.release/ecec.nr0.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http://www.fcps.edu/fts/dashboard/totals/hstotals15-16.html" TargetMode="External"/><Relationship Id="rId2" Type="http://schemas.openxmlformats.org/officeDocument/2006/relationships/hyperlink" Target="http://www.fcps.edu/fts/dashboard/totals/mstotals15-16.html" TargetMode="External"/><Relationship Id="rId1" Type="http://schemas.openxmlformats.org/officeDocument/2006/relationships/hyperlink" Target="http://www.fcps.edu/fts/dashboard/totals/estotals15-16.html" TargetMode="External"/><Relationship Id="rId4"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fcps.edu/fs/budget/documents/proposed/FY14/FY2014ProposedBudget.pdf" TargetMode="External"/><Relationship Id="rId7" Type="http://schemas.openxmlformats.org/officeDocument/2006/relationships/drawing" Target="../drawings/drawing3.xml"/><Relationship Id="rId2" Type="http://schemas.openxmlformats.org/officeDocument/2006/relationships/hyperlink" Target="http://www.fcps.edu/news/fy2014.shtml" TargetMode="External"/><Relationship Id="rId1" Type="http://schemas.openxmlformats.org/officeDocument/2006/relationships/hyperlink" Target="http://www.fcps.edu/fs/budget/wabe/" TargetMode="External"/><Relationship Id="rId6" Type="http://schemas.openxmlformats.org/officeDocument/2006/relationships/printerSettings" Target="../printerSettings/printerSettings2.bin"/><Relationship Id="rId5" Type="http://schemas.openxmlformats.org/officeDocument/2006/relationships/hyperlink" Target="http://factfinder.census.gov/faces/tableservices/jsf/pages/productview.xhtml?pid=ACS_14_5YR_S1901&amp;prodType=table" TargetMode="External"/><Relationship Id="rId4" Type="http://schemas.openxmlformats.org/officeDocument/2006/relationships/hyperlink" Target="http://www.fcps.edu/fs/budget/documents/approved/FY14/ProgramBudgetFY2014.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fcps.edu/fs/budget/budgetdocuments.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fcps.edu/fs/budget/budgetdocuments.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fcps.edu/fs/budget/documents/proposed/FY17/FY2017ProposedBudget.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codeName="Sheet2"/>
  <dimension ref="A3:A5"/>
  <sheetViews>
    <sheetView workbookViewId="0">
      <selection activeCell="A3" sqref="A3"/>
    </sheetView>
  </sheetViews>
  <sheetFormatPr defaultRowHeight="12.75"/>
  <sheetData>
    <row r="3" spans="1:1">
      <c r="A3" s="44" t="s">
        <v>110</v>
      </c>
    </row>
    <row r="5" spans="1:1">
      <c r="A5" s="83" t="s">
        <v>846</v>
      </c>
    </row>
  </sheetData>
  <hyperlinks>
    <hyperlink ref="A3" r:id="rId1"/>
    <hyperlink ref="A5"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
  <dimension ref="A1:Y107"/>
  <sheetViews>
    <sheetView workbookViewId="0">
      <pane xSplit="2" ySplit="3" topLeftCell="C4" activePane="bottomRight" state="frozen"/>
      <selection pane="topRight" activeCell="C1" sqref="C1"/>
      <selection pane="bottomLeft" activeCell="A4" sqref="A4"/>
      <selection pane="bottomRight" activeCell="B18" sqref="B18"/>
    </sheetView>
  </sheetViews>
  <sheetFormatPr defaultRowHeight="12.75"/>
  <cols>
    <col min="2" max="2" width="22.5703125" bestFit="1" customWidth="1"/>
    <col min="3" max="3" width="9.28515625" bestFit="1" customWidth="1"/>
    <col min="14" max="14" width="9.140625" customWidth="1"/>
    <col min="20" max="20" width="9.140625" customWidth="1"/>
    <col min="21" max="21" width="14" customWidth="1"/>
    <col min="24" max="24" width="10" bestFit="1" customWidth="1"/>
  </cols>
  <sheetData>
    <row r="1" spans="1:20">
      <c r="A1" t="s">
        <v>1114</v>
      </c>
    </row>
    <row r="2" spans="1:20">
      <c r="B2" s="23" t="s">
        <v>928</v>
      </c>
      <c r="C2">
        <v>45000</v>
      </c>
      <c r="D2">
        <v>48000</v>
      </c>
      <c r="E2">
        <v>48000</v>
      </c>
      <c r="F2">
        <v>48000</v>
      </c>
      <c r="G2">
        <v>48000</v>
      </c>
      <c r="H2">
        <v>48000</v>
      </c>
      <c r="I2">
        <v>60000</v>
      </c>
      <c r="J2">
        <v>60000</v>
      </c>
      <c r="K2">
        <v>60000</v>
      </c>
      <c r="L2">
        <v>60000</v>
      </c>
      <c r="M2">
        <v>60000</v>
      </c>
      <c r="N2">
        <v>60000</v>
      </c>
      <c r="O2">
        <v>65000</v>
      </c>
      <c r="P2">
        <v>65000</v>
      </c>
      <c r="Q2">
        <v>65000</v>
      </c>
      <c r="R2">
        <v>65000</v>
      </c>
      <c r="S2">
        <v>65000</v>
      </c>
      <c r="T2">
        <v>65000</v>
      </c>
    </row>
    <row r="3" spans="1:20">
      <c r="A3" s="24"/>
      <c r="B3" s="23" t="s">
        <v>1055</v>
      </c>
      <c r="C3" s="23">
        <v>2000</v>
      </c>
      <c r="D3" s="23">
        <v>2001</v>
      </c>
      <c r="E3" s="23">
        <v>2002</v>
      </c>
      <c r="F3" s="23">
        <v>2003</v>
      </c>
      <c r="G3" s="23">
        <v>2004</v>
      </c>
      <c r="H3" s="23">
        <v>2005</v>
      </c>
      <c r="I3" s="23">
        <v>2006</v>
      </c>
      <c r="J3" s="23">
        <v>2007</v>
      </c>
      <c r="K3" s="23">
        <v>2008</v>
      </c>
      <c r="L3" s="23">
        <v>2009</v>
      </c>
      <c r="M3" s="23">
        <v>2010</v>
      </c>
      <c r="N3" s="23">
        <v>2011</v>
      </c>
      <c r="O3" s="23">
        <v>2012</v>
      </c>
      <c r="P3" s="23">
        <v>2013</v>
      </c>
      <c r="Q3" s="23">
        <v>2014</v>
      </c>
      <c r="R3" s="23">
        <v>2015</v>
      </c>
      <c r="S3" s="23">
        <v>2016</v>
      </c>
      <c r="T3" s="23">
        <v>2017</v>
      </c>
    </row>
    <row r="4" spans="1:20">
      <c r="B4" t="s">
        <v>918</v>
      </c>
      <c r="C4">
        <v>59962</v>
      </c>
      <c r="D4">
        <v>62284</v>
      </c>
      <c r="E4">
        <v>61700</v>
      </c>
      <c r="F4">
        <v>65542</v>
      </c>
      <c r="G4">
        <v>62722</v>
      </c>
      <c r="H4">
        <v>64046</v>
      </c>
      <c r="I4">
        <v>79814</v>
      </c>
      <c r="J4">
        <v>82578</v>
      </c>
      <c r="K4">
        <v>84528</v>
      </c>
      <c r="L4">
        <v>86400</v>
      </c>
      <c r="M4">
        <v>86274</v>
      </c>
      <c r="N4">
        <v>85704</v>
      </c>
      <c r="O4">
        <v>95117</v>
      </c>
      <c r="P4" s="23">
        <v>97728</v>
      </c>
      <c r="Q4" s="23">
        <v>98097</v>
      </c>
      <c r="R4" s="43">
        <v>99644</v>
      </c>
      <c r="S4">
        <v>96553</v>
      </c>
    </row>
    <row r="5" spans="1:20">
      <c r="B5" t="s">
        <v>919</v>
      </c>
      <c r="C5">
        <v>57718</v>
      </c>
      <c r="D5">
        <v>60713</v>
      </c>
      <c r="E5">
        <v>61322</v>
      </c>
      <c r="F5">
        <v>61416</v>
      </c>
      <c r="G5">
        <v>65966</v>
      </c>
      <c r="H5">
        <v>67823</v>
      </c>
      <c r="I5">
        <v>83439</v>
      </c>
      <c r="J5">
        <v>85629</v>
      </c>
      <c r="K5">
        <v>87636</v>
      </c>
      <c r="L5">
        <v>86046</v>
      </c>
      <c r="M5">
        <v>85242</v>
      </c>
      <c r="N5">
        <v>82158</v>
      </c>
      <c r="O5">
        <v>90619</v>
      </c>
      <c r="P5">
        <v>92128</v>
      </c>
      <c r="Q5">
        <v>95522</v>
      </c>
      <c r="R5" s="43">
        <v>93360</v>
      </c>
      <c r="S5">
        <v>92200</v>
      </c>
    </row>
    <row r="6" spans="1:20">
      <c r="B6" t="s">
        <v>920</v>
      </c>
      <c r="C6">
        <v>60153</v>
      </c>
      <c r="D6">
        <v>62529</v>
      </c>
      <c r="E6">
        <v>61358</v>
      </c>
      <c r="F6">
        <v>61772</v>
      </c>
      <c r="G6">
        <v>65742</v>
      </c>
      <c r="H6">
        <v>67528</v>
      </c>
      <c r="I6">
        <v>83348</v>
      </c>
      <c r="J6">
        <v>85595</v>
      </c>
      <c r="K6">
        <v>86172</v>
      </c>
      <c r="L6">
        <v>85470</v>
      </c>
      <c r="M6">
        <v>85386</v>
      </c>
      <c r="N6">
        <v>82530</v>
      </c>
      <c r="O6">
        <v>91137</v>
      </c>
      <c r="P6" s="23">
        <v>95389</v>
      </c>
      <c r="Q6" s="23">
        <v>96402</v>
      </c>
      <c r="R6" s="43">
        <v>99629</v>
      </c>
      <c r="S6">
        <v>96021</v>
      </c>
    </row>
    <row r="7" spans="1:20">
      <c r="B7" t="s">
        <v>921</v>
      </c>
      <c r="C7">
        <v>59805</v>
      </c>
      <c r="D7">
        <v>63093</v>
      </c>
      <c r="E7">
        <v>61781</v>
      </c>
      <c r="F7">
        <v>61560</v>
      </c>
      <c r="G7">
        <v>64435</v>
      </c>
      <c r="H7">
        <v>65952</v>
      </c>
      <c r="I7">
        <v>80614</v>
      </c>
      <c r="J7">
        <v>83833</v>
      </c>
      <c r="K7">
        <v>86017</v>
      </c>
      <c r="L7">
        <v>85488</v>
      </c>
      <c r="M7">
        <v>86358</v>
      </c>
      <c r="N7">
        <v>81126</v>
      </c>
      <c r="O7">
        <v>90936</v>
      </c>
      <c r="P7">
        <v>91673</v>
      </c>
      <c r="Q7">
        <v>93478</v>
      </c>
      <c r="R7" s="43">
        <v>97371</v>
      </c>
      <c r="S7">
        <v>95685</v>
      </c>
    </row>
    <row r="8" spans="1:20">
      <c r="B8" t="s">
        <v>922</v>
      </c>
      <c r="C8">
        <v>59858</v>
      </c>
      <c r="D8">
        <v>63992</v>
      </c>
      <c r="E8">
        <v>62596</v>
      </c>
      <c r="F8">
        <v>63531</v>
      </c>
      <c r="G8">
        <v>64922</v>
      </c>
      <c r="H8">
        <v>66384</v>
      </c>
      <c r="I8">
        <v>81962</v>
      </c>
      <c r="J8">
        <v>84954</v>
      </c>
      <c r="K8">
        <v>86436</v>
      </c>
      <c r="L8">
        <v>86185</v>
      </c>
      <c r="M8">
        <v>86138</v>
      </c>
      <c r="N8">
        <v>82638</v>
      </c>
      <c r="O8">
        <v>91117</v>
      </c>
      <c r="P8">
        <v>94645</v>
      </c>
      <c r="Q8">
        <v>95048</v>
      </c>
      <c r="R8" s="43">
        <v>98352</v>
      </c>
      <c r="S8">
        <v>98968</v>
      </c>
    </row>
    <row r="9" spans="1:20">
      <c r="B9" t="s">
        <v>923</v>
      </c>
      <c r="C9">
        <v>59785</v>
      </c>
      <c r="D9">
        <v>63460</v>
      </c>
      <c r="E9">
        <v>62860</v>
      </c>
      <c r="F9">
        <v>63622</v>
      </c>
      <c r="G9">
        <v>64339</v>
      </c>
      <c r="H9">
        <v>66845</v>
      </c>
      <c r="I9">
        <v>81846</v>
      </c>
      <c r="J9">
        <v>84714</v>
      </c>
      <c r="K9">
        <v>87450</v>
      </c>
      <c r="L9">
        <v>88056</v>
      </c>
      <c r="M9">
        <v>84714</v>
      </c>
      <c r="N9">
        <v>81576</v>
      </c>
      <c r="O9">
        <v>88829</v>
      </c>
      <c r="P9">
        <v>89409</v>
      </c>
      <c r="Q9">
        <v>90453</v>
      </c>
      <c r="R9" s="43">
        <v>93892</v>
      </c>
      <c r="S9">
        <v>93630</v>
      </c>
    </row>
    <row r="10" spans="1:20">
      <c r="B10" t="s">
        <v>924</v>
      </c>
      <c r="O10">
        <v>89045</v>
      </c>
      <c r="P10">
        <v>90027</v>
      </c>
      <c r="Q10">
        <v>90183</v>
      </c>
      <c r="R10" s="43">
        <v>91996</v>
      </c>
      <c r="S10">
        <v>92646</v>
      </c>
    </row>
    <row r="11" spans="1:20">
      <c r="B11" t="s">
        <v>925</v>
      </c>
      <c r="C11">
        <v>62649</v>
      </c>
      <c r="D11">
        <v>63573</v>
      </c>
      <c r="E11">
        <v>63631</v>
      </c>
      <c r="F11">
        <v>64195</v>
      </c>
      <c r="G11">
        <v>64419</v>
      </c>
      <c r="H11">
        <v>64953</v>
      </c>
      <c r="I11">
        <v>80736</v>
      </c>
      <c r="J11">
        <v>81768</v>
      </c>
      <c r="K11">
        <v>81792</v>
      </c>
      <c r="L11">
        <v>83358</v>
      </c>
      <c r="M11">
        <v>88134</v>
      </c>
      <c r="O11">
        <v>95495</v>
      </c>
      <c r="P11">
        <v>93187</v>
      </c>
      <c r="Q11">
        <v>94109</v>
      </c>
      <c r="R11" s="43">
        <v>98010</v>
      </c>
      <c r="S11">
        <v>97697</v>
      </c>
    </row>
    <row r="12" spans="1:20">
      <c r="B12" t="s">
        <v>926</v>
      </c>
      <c r="C12">
        <v>58393</v>
      </c>
      <c r="D12">
        <v>63303</v>
      </c>
      <c r="E12">
        <v>61709</v>
      </c>
      <c r="F12">
        <v>62357</v>
      </c>
      <c r="G12">
        <v>62263</v>
      </c>
      <c r="H12">
        <v>62939</v>
      </c>
      <c r="I12">
        <v>77316</v>
      </c>
      <c r="J12">
        <v>77232</v>
      </c>
      <c r="K12">
        <v>78720</v>
      </c>
      <c r="L12">
        <v>79593</v>
      </c>
      <c r="M12">
        <v>81546</v>
      </c>
      <c r="N12">
        <v>82260</v>
      </c>
      <c r="O12">
        <v>91143</v>
      </c>
      <c r="P12">
        <v>91497</v>
      </c>
      <c r="Q12">
        <v>92714</v>
      </c>
      <c r="R12" s="43">
        <f>65000*(1.4338)</f>
        <v>93197</v>
      </c>
      <c r="S12">
        <v>91623</v>
      </c>
    </row>
    <row r="13" spans="1:20">
      <c r="B13" t="s">
        <v>927</v>
      </c>
      <c r="C13">
        <v>60267</v>
      </c>
      <c r="D13">
        <v>64233</v>
      </c>
      <c r="E13">
        <v>64681</v>
      </c>
      <c r="F13">
        <v>64394</v>
      </c>
      <c r="G13">
        <v>65144</v>
      </c>
      <c r="H13">
        <v>65555</v>
      </c>
      <c r="I13">
        <v>80545</v>
      </c>
      <c r="J13">
        <v>82542</v>
      </c>
      <c r="K13">
        <v>85913</v>
      </c>
      <c r="L13">
        <v>85134</v>
      </c>
      <c r="M13">
        <v>85398</v>
      </c>
      <c r="N13">
        <v>82008</v>
      </c>
      <c r="O13">
        <v>90188</v>
      </c>
      <c r="P13">
        <v>91391</v>
      </c>
      <c r="Q13">
        <v>91906</v>
      </c>
      <c r="R13" s="43">
        <v>94213</v>
      </c>
      <c r="S13">
        <v>93913</v>
      </c>
    </row>
    <row r="14" spans="1:20">
      <c r="J14" s="38"/>
    </row>
    <row r="15" spans="1:20">
      <c r="B15" s="23" t="s">
        <v>1056</v>
      </c>
      <c r="I15" s="24" t="s">
        <v>936</v>
      </c>
      <c r="J15" s="38"/>
    </row>
    <row r="16" spans="1:20">
      <c r="B16" s="24" t="s">
        <v>1054</v>
      </c>
      <c r="C16" s="23">
        <f>C3</f>
        <v>2000</v>
      </c>
      <c r="D16" s="23">
        <f t="shared" ref="D16:Q16" si="0">D3</f>
        <v>2001</v>
      </c>
      <c r="E16" s="23">
        <f t="shared" si="0"/>
        <v>2002</v>
      </c>
      <c r="F16" s="23">
        <f t="shared" si="0"/>
        <v>2003</v>
      </c>
      <c r="G16" s="23">
        <f t="shared" si="0"/>
        <v>2004</v>
      </c>
      <c r="H16" s="23">
        <f t="shared" si="0"/>
        <v>2005</v>
      </c>
      <c r="I16" s="23">
        <f t="shared" si="0"/>
        <v>2006</v>
      </c>
      <c r="J16" s="23">
        <f t="shared" si="0"/>
        <v>2007</v>
      </c>
      <c r="K16" s="23">
        <f t="shared" si="0"/>
        <v>2008</v>
      </c>
      <c r="L16" s="23">
        <f t="shared" si="0"/>
        <v>2009</v>
      </c>
      <c r="M16" s="23">
        <f t="shared" si="0"/>
        <v>2010</v>
      </c>
      <c r="N16" s="23">
        <f t="shared" si="0"/>
        <v>2011</v>
      </c>
      <c r="O16" s="23">
        <f t="shared" si="0"/>
        <v>2012</v>
      </c>
      <c r="P16" s="23">
        <f t="shared" si="0"/>
        <v>2013</v>
      </c>
      <c r="Q16" s="23">
        <f t="shared" si="0"/>
        <v>2014</v>
      </c>
      <c r="R16" s="23">
        <v>2015</v>
      </c>
      <c r="S16" s="23">
        <v>2016</v>
      </c>
      <c r="T16" s="23">
        <v>2017</v>
      </c>
    </row>
    <row r="17" spans="1:20">
      <c r="A17" s="45"/>
      <c r="B17" t="s">
        <v>918</v>
      </c>
      <c r="C17" s="45">
        <v>63866.192444444445</v>
      </c>
      <c r="D17" s="45">
        <v>62575.956250000003</v>
      </c>
      <c r="E17" s="45">
        <v>65053.652083333334</v>
      </c>
      <c r="F17" s="45">
        <v>74040.612666666668</v>
      </c>
      <c r="G17" s="45">
        <v>72583.727791666664</v>
      </c>
      <c r="H17" s="45">
        <v>79582.492166666663</v>
      </c>
      <c r="I17" s="45">
        <v>83187.471733333339</v>
      </c>
      <c r="J17" s="45">
        <v>85270.042799999996</v>
      </c>
      <c r="K17" s="45">
        <v>97631.248800000001</v>
      </c>
      <c r="L17" s="45">
        <v>99123.839999999997</v>
      </c>
      <c r="M17" s="114">
        <v>99653.659499999994</v>
      </c>
      <c r="N17" s="114">
        <v>99766.597999999998</v>
      </c>
      <c r="O17">
        <v>102596</v>
      </c>
      <c r="P17" s="23">
        <v>108510</v>
      </c>
      <c r="Q17" s="23">
        <v>112256</v>
      </c>
      <c r="R17">
        <v>110301</v>
      </c>
      <c r="S17">
        <v>108176</v>
      </c>
    </row>
    <row r="18" spans="1:20">
      <c r="A18" s="45"/>
      <c r="B18" t="s">
        <v>919</v>
      </c>
      <c r="C18" s="45">
        <v>64967.380799999999</v>
      </c>
      <c r="D18" s="45">
        <v>68087.099791666667</v>
      </c>
      <c r="E18" s="45">
        <v>69168.66091666666</v>
      </c>
      <c r="F18" s="45">
        <v>74001.161999999997</v>
      </c>
      <c r="G18" s="45">
        <v>77409.726708333328</v>
      </c>
      <c r="H18" s="45">
        <v>87360.262937499996</v>
      </c>
      <c r="I18" s="45">
        <v>92193.141749999995</v>
      </c>
      <c r="J18" s="45">
        <v>98695.985400000005</v>
      </c>
      <c r="K18" s="45">
        <v>103918.76880000001</v>
      </c>
      <c r="L18" s="45">
        <v>104837.0123</v>
      </c>
      <c r="M18" s="114">
        <v>104823.50810000001</v>
      </c>
      <c r="N18" s="114">
        <v>100974.9206</v>
      </c>
      <c r="O18">
        <v>99801</v>
      </c>
      <c r="P18" s="23">
        <v>101885</v>
      </c>
      <c r="Q18" s="23">
        <v>107603</v>
      </c>
      <c r="R18">
        <v>108200</v>
      </c>
      <c r="S18">
        <v>108368</v>
      </c>
    </row>
    <row r="19" spans="1:20">
      <c r="A19" s="45"/>
      <c r="B19" t="s">
        <v>920</v>
      </c>
      <c r="C19" s="45">
        <v>64827.556466666669</v>
      </c>
      <c r="D19" s="45">
        <v>63831.6875</v>
      </c>
      <c r="E19" s="45">
        <v>65989.250708333333</v>
      </c>
      <c r="F19" s="45">
        <v>68471.68816666666</v>
      </c>
      <c r="G19" s="45">
        <v>71809.438750000001</v>
      </c>
      <c r="H19" s="45">
        <v>80552.463000000003</v>
      </c>
      <c r="I19" s="45">
        <v>83627.215800000005</v>
      </c>
      <c r="J19" s="45">
        <v>89358.32683333334</v>
      </c>
      <c r="K19" s="45">
        <v>92231.327799999999</v>
      </c>
      <c r="L19" s="45">
        <v>94354.606499999994</v>
      </c>
      <c r="M19" s="114">
        <v>92007.684299999994</v>
      </c>
      <c r="N19" s="114">
        <v>88374.499500000005</v>
      </c>
      <c r="O19">
        <v>89871</v>
      </c>
      <c r="P19" s="23">
        <v>95152</v>
      </c>
      <c r="Q19" s="23">
        <v>97579</v>
      </c>
      <c r="R19">
        <v>101939</v>
      </c>
      <c r="S19">
        <v>99367</v>
      </c>
    </row>
    <row r="20" spans="1:20">
      <c r="A20" s="45"/>
      <c r="B20" t="s">
        <v>921</v>
      </c>
      <c r="C20" s="45">
        <v>63216.542999999998</v>
      </c>
      <c r="D20" s="45">
        <v>64732.1035625</v>
      </c>
      <c r="E20" s="45">
        <v>64734.904062499998</v>
      </c>
      <c r="F20" s="45">
        <v>65764.035000000003</v>
      </c>
      <c r="G20" s="45">
        <v>72010.139687500006</v>
      </c>
      <c r="H20" s="45">
        <v>77415.282000000007</v>
      </c>
      <c r="I20" s="45">
        <v>80611.31286666666</v>
      </c>
      <c r="J20" s="45">
        <v>86320.045666666672</v>
      </c>
      <c r="K20" s="45">
        <v>91894.828333333338</v>
      </c>
      <c r="L20" s="45">
        <v>90809.627999999997</v>
      </c>
      <c r="M20" s="114">
        <v>95044.175499999998</v>
      </c>
      <c r="N20" s="114">
        <v>89285.923500000004</v>
      </c>
      <c r="O20">
        <v>89642</v>
      </c>
      <c r="P20">
        <v>93193</v>
      </c>
      <c r="Q20">
        <v>93174</v>
      </c>
      <c r="R20">
        <v>104369</v>
      </c>
      <c r="S20">
        <v>109934</v>
      </c>
    </row>
    <row r="21" spans="1:20">
      <c r="A21" s="45"/>
      <c r="B21" t="s">
        <v>922</v>
      </c>
      <c r="C21" s="45">
        <v>56102.908133333331</v>
      </c>
      <c r="D21" s="45">
        <v>59892.512499999997</v>
      </c>
      <c r="E21" s="45">
        <v>67054.66091666666</v>
      </c>
      <c r="F21" s="45">
        <v>69869.540812499996</v>
      </c>
      <c r="G21" s="45">
        <v>68580.625208333338</v>
      </c>
      <c r="H21" s="45">
        <v>77178.315000000002</v>
      </c>
      <c r="I21" s="45">
        <v>77771.00973333334</v>
      </c>
      <c r="J21" s="45">
        <v>82886.785999999993</v>
      </c>
      <c r="K21" s="45">
        <v>88233.868799999997</v>
      </c>
      <c r="L21" s="45">
        <v>86230.965333333326</v>
      </c>
      <c r="M21" s="45">
        <v>85756.121533333338</v>
      </c>
      <c r="N21" s="45">
        <v>81778.564799999993</v>
      </c>
      <c r="O21">
        <v>86690</v>
      </c>
      <c r="P21">
        <v>89628</v>
      </c>
      <c r="Q21">
        <v>92589</v>
      </c>
      <c r="R21">
        <v>95874</v>
      </c>
      <c r="S21">
        <v>99687</v>
      </c>
    </row>
    <row r="22" spans="1:20">
      <c r="A22" s="45"/>
      <c r="B22" t="s">
        <v>923</v>
      </c>
      <c r="C22" s="45">
        <v>54861.373111111112</v>
      </c>
      <c r="D22" s="45">
        <v>56746.460833333331</v>
      </c>
      <c r="E22" s="45">
        <v>59485.203750000001</v>
      </c>
      <c r="F22" s="45">
        <v>64942.156499999997</v>
      </c>
      <c r="G22" s="45">
        <v>67720.818687499996</v>
      </c>
      <c r="H22" s="45">
        <v>76284.07104166667</v>
      </c>
      <c r="I22" s="45">
        <v>76475.5383</v>
      </c>
      <c r="J22" s="45">
        <v>83114.317299999995</v>
      </c>
      <c r="K22" s="45">
        <v>89636.25</v>
      </c>
      <c r="L22" s="45">
        <v>92693.615999999995</v>
      </c>
      <c r="M22" s="45">
        <v>87536.388099999996</v>
      </c>
      <c r="N22" s="45">
        <v>82798.280400000003</v>
      </c>
      <c r="O22">
        <v>84204</v>
      </c>
      <c r="P22">
        <v>84392</v>
      </c>
      <c r="Q22">
        <v>88311</v>
      </c>
      <c r="R22">
        <v>91875</v>
      </c>
      <c r="S22">
        <v>92540</v>
      </c>
    </row>
    <row r="23" spans="1:20">
      <c r="A23" s="45"/>
      <c r="B23" t="s">
        <v>924</v>
      </c>
      <c r="C23" s="45"/>
      <c r="D23" s="45"/>
      <c r="E23" s="45"/>
      <c r="F23" s="45"/>
      <c r="G23" s="45"/>
      <c r="H23" s="45"/>
      <c r="I23" s="45"/>
      <c r="J23" s="45"/>
      <c r="K23" s="45"/>
      <c r="L23" s="45"/>
      <c r="M23" s="45"/>
      <c r="N23" s="45"/>
      <c r="O23">
        <v>78079</v>
      </c>
      <c r="P23">
        <v>82096</v>
      </c>
      <c r="Q23">
        <v>81661</v>
      </c>
      <c r="R23">
        <v>85326</v>
      </c>
      <c r="S23">
        <v>83514</v>
      </c>
    </row>
    <row r="24" spans="1:20">
      <c r="A24" s="45"/>
      <c r="B24" t="s">
        <v>925</v>
      </c>
      <c r="C24" s="45">
        <v>71373.917400000006</v>
      </c>
      <c r="D24" s="45">
        <v>67559.556874999995</v>
      </c>
      <c r="E24" s="45">
        <v>69805.858291666664</v>
      </c>
      <c r="F24" s="45">
        <v>78478.387499999997</v>
      </c>
      <c r="G24" s="45">
        <v>75752.717812500006</v>
      </c>
      <c r="H24" s="45">
        <v>85428.080062499997</v>
      </c>
      <c r="I24" s="45">
        <v>87093.96</v>
      </c>
      <c r="J24" s="45">
        <v>90777.470799999996</v>
      </c>
      <c r="K24" s="45">
        <v>96708.134399999995</v>
      </c>
      <c r="L24" s="45">
        <v>104915.7681</v>
      </c>
      <c r="M24" s="114">
        <v>112345.8787</v>
      </c>
      <c r="N24" s="45"/>
      <c r="O24">
        <v>107632</v>
      </c>
      <c r="P24" s="23">
        <v>105645</v>
      </c>
      <c r="Q24" s="23">
        <v>107484</v>
      </c>
      <c r="R24">
        <v>111484</v>
      </c>
      <c r="S24">
        <v>111860</v>
      </c>
    </row>
    <row r="25" spans="1:20">
      <c r="A25" s="45"/>
      <c r="B25" t="s">
        <v>926</v>
      </c>
      <c r="C25" s="45">
        <v>55108.718155555558</v>
      </c>
      <c r="D25" s="45">
        <v>56008.648062499997</v>
      </c>
      <c r="E25" s="45">
        <v>55436.537270833331</v>
      </c>
      <c r="F25" s="45">
        <v>58572.7095625</v>
      </c>
      <c r="G25" s="45">
        <v>63504.3685625</v>
      </c>
      <c r="H25" s="45">
        <v>66986.764437499995</v>
      </c>
      <c r="I25" s="45">
        <v>68108.952999999994</v>
      </c>
      <c r="J25" s="45">
        <v>70770.255999999994</v>
      </c>
      <c r="K25" s="45">
        <v>76027.775999999998</v>
      </c>
      <c r="L25" s="45">
        <v>92871.765499999994</v>
      </c>
      <c r="M25" s="114">
        <v>92379.386100000003</v>
      </c>
      <c r="N25" s="114">
        <v>88602.245999999999</v>
      </c>
      <c r="O25">
        <v>89766</v>
      </c>
      <c r="P25">
        <v>89740</v>
      </c>
      <c r="Q25">
        <v>91218</v>
      </c>
      <c r="R25">
        <v>82663</v>
      </c>
      <c r="S25">
        <v>93726</v>
      </c>
    </row>
    <row r="26" spans="1:20">
      <c r="A26" s="45"/>
      <c r="B26" t="s">
        <v>927</v>
      </c>
      <c r="C26" s="45">
        <v>55430.908066666663</v>
      </c>
      <c r="D26" s="45">
        <v>57603.619124999997</v>
      </c>
      <c r="E26" s="45">
        <v>60366.238291666668</v>
      </c>
      <c r="F26" s="45">
        <v>61918.855624999997</v>
      </c>
      <c r="G26" s="45">
        <v>68482.63</v>
      </c>
      <c r="H26" s="45">
        <v>68580.090104166666</v>
      </c>
      <c r="I26" s="45">
        <v>69278.096916666662</v>
      </c>
      <c r="J26" s="45">
        <v>73480.2641</v>
      </c>
      <c r="K26" s="45">
        <v>79881.907399999996</v>
      </c>
      <c r="L26" s="45">
        <v>81453.373399999997</v>
      </c>
      <c r="M26" s="45">
        <v>84444.388999999996</v>
      </c>
      <c r="N26" s="45">
        <v>82230.788400000005</v>
      </c>
      <c r="O26">
        <v>83393</v>
      </c>
      <c r="P26">
        <v>83804</v>
      </c>
      <c r="Q26">
        <v>85787</v>
      </c>
      <c r="R26">
        <v>89862</v>
      </c>
      <c r="S26">
        <v>93318</v>
      </c>
    </row>
    <row r="28" spans="1:20">
      <c r="B28" s="23" t="s">
        <v>1038</v>
      </c>
    </row>
    <row r="29" spans="1:20">
      <c r="C29" s="23">
        <f>C16</f>
        <v>2000</v>
      </c>
      <c r="D29" s="23">
        <f t="shared" ref="D29:Q29" si="1">D16</f>
        <v>2001</v>
      </c>
      <c r="E29" s="23">
        <f t="shared" si="1"/>
        <v>2002</v>
      </c>
      <c r="F29" s="23">
        <f t="shared" si="1"/>
        <v>2003</v>
      </c>
      <c r="G29" s="23">
        <f t="shared" si="1"/>
        <v>2004</v>
      </c>
      <c r="H29" s="23">
        <f t="shared" si="1"/>
        <v>2005</v>
      </c>
      <c r="I29" s="23">
        <f t="shared" si="1"/>
        <v>2006</v>
      </c>
      <c r="J29" s="23">
        <f t="shared" si="1"/>
        <v>2007</v>
      </c>
      <c r="K29" s="23">
        <f t="shared" si="1"/>
        <v>2008</v>
      </c>
      <c r="L29" s="23">
        <f t="shared" si="1"/>
        <v>2009</v>
      </c>
      <c r="M29" s="23">
        <f t="shared" si="1"/>
        <v>2010</v>
      </c>
      <c r="N29" s="23">
        <f t="shared" si="1"/>
        <v>2011</v>
      </c>
      <c r="O29" s="23">
        <f t="shared" si="1"/>
        <v>2012</v>
      </c>
      <c r="P29" s="23">
        <f t="shared" si="1"/>
        <v>2013</v>
      </c>
      <c r="Q29" s="23">
        <f t="shared" si="1"/>
        <v>2014</v>
      </c>
      <c r="R29" s="23">
        <v>2015</v>
      </c>
      <c r="S29" s="23">
        <v>2016</v>
      </c>
      <c r="T29" s="23">
        <v>2017</v>
      </c>
    </row>
    <row r="30" spans="1:20">
      <c r="B30" t="s">
        <v>918</v>
      </c>
      <c r="C30">
        <f>C4/C$2</f>
        <v>1.3324888888888888</v>
      </c>
      <c r="D30">
        <f t="shared" ref="D30:Q30" si="2">D4/D$2</f>
        <v>1.2975833333333333</v>
      </c>
      <c r="E30">
        <f t="shared" si="2"/>
        <v>1.2854166666666667</v>
      </c>
      <c r="F30">
        <f t="shared" si="2"/>
        <v>1.3654583333333334</v>
      </c>
      <c r="G30">
        <f t="shared" si="2"/>
        <v>1.3067083333333334</v>
      </c>
      <c r="H30">
        <f t="shared" si="2"/>
        <v>1.3342916666666667</v>
      </c>
      <c r="I30">
        <f>I4/I$2</f>
        <v>1.3302333333333334</v>
      </c>
      <c r="J30">
        <f t="shared" si="2"/>
        <v>1.3763000000000001</v>
      </c>
      <c r="K30">
        <f t="shared" si="2"/>
        <v>1.4088000000000001</v>
      </c>
      <c r="L30">
        <f t="shared" si="2"/>
        <v>1.44</v>
      </c>
      <c r="M30">
        <f t="shared" si="2"/>
        <v>1.4379</v>
      </c>
      <c r="N30">
        <f t="shared" si="2"/>
        <v>1.4283999999999999</v>
      </c>
      <c r="O30">
        <f t="shared" si="2"/>
        <v>1.4633384615384615</v>
      </c>
      <c r="P30">
        <f t="shared" si="2"/>
        <v>1.5035076923076922</v>
      </c>
      <c r="Q30">
        <f t="shared" si="2"/>
        <v>1.5091846153846153</v>
      </c>
      <c r="R30">
        <f t="shared" ref="R30" si="3">R4/R$2</f>
        <v>1.5329846153846154</v>
      </c>
      <c r="S30">
        <f>S17/S51</f>
        <v>1.453372922572584</v>
      </c>
    </row>
    <row r="31" spans="1:20">
      <c r="B31" t="s">
        <v>919</v>
      </c>
      <c r="C31">
        <f t="shared" ref="C31:Q39" si="4">C5/C$2</f>
        <v>1.2826222222222223</v>
      </c>
      <c r="D31">
        <f t="shared" si="4"/>
        <v>1.2648541666666666</v>
      </c>
      <c r="E31">
        <f t="shared" si="4"/>
        <v>1.2775416666666666</v>
      </c>
      <c r="F31">
        <f t="shared" si="4"/>
        <v>1.2795000000000001</v>
      </c>
      <c r="G31">
        <f t="shared" si="4"/>
        <v>1.3742916666666667</v>
      </c>
      <c r="H31">
        <f t="shared" si="4"/>
        <v>1.4129791666666667</v>
      </c>
      <c r="I31">
        <f t="shared" si="4"/>
        <v>1.3906499999999999</v>
      </c>
      <c r="J31">
        <f t="shared" si="4"/>
        <v>1.4271499999999999</v>
      </c>
      <c r="K31">
        <f t="shared" si="4"/>
        <v>1.4605999999999999</v>
      </c>
      <c r="L31">
        <f t="shared" si="4"/>
        <v>1.4340999999999999</v>
      </c>
      <c r="M31">
        <f t="shared" si="4"/>
        <v>1.4207000000000001</v>
      </c>
      <c r="N31">
        <f t="shared" si="4"/>
        <v>1.3693</v>
      </c>
      <c r="O31">
        <f t="shared" si="4"/>
        <v>1.3941384615384615</v>
      </c>
      <c r="P31">
        <f t="shared" si="4"/>
        <v>1.4173538461538462</v>
      </c>
      <c r="Q31">
        <f t="shared" si="4"/>
        <v>1.4695692307692307</v>
      </c>
      <c r="R31">
        <f t="shared" ref="R31" si="5">R5/R$2</f>
        <v>1.4363076923076923</v>
      </c>
      <c r="S31">
        <f t="shared" ref="S31:S39" si="6">S18/S52</f>
        <v>1.3892977103151201</v>
      </c>
    </row>
    <row r="32" spans="1:20">
      <c r="B32" t="s">
        <v>920</v>
      </c>
      <c r="C32" s="117">
        <f t="shared" si="4"/>
        <v>1.3367333333333333</v>
      </c>
      <c r="D32" s="118">
        <f t="shared" si="4"/>
        <v>1.3026875</v>
      </c>
      <c r="E32" s="118">
        <f t="shared" si="4"/>
        <v>1.2782916666666666</v>
      </c>
      <c r="F32" s="118">
        <f t="shared" si="4"/>
        <v>1.2869166666666667</v>
      </c>
      <c r="G32" s="118">
        <f t="shared" si="4"/>
        <v>1.3696250000000001</v>
      </c>
      <c r="H32" s="118">
        <f t="shared" si="4"/>
        <v>1.4068333333333334</v>
      </c>
      <c r="I32" s="118">
        <f t="shared" si="4"/>
        <v>1.3891333333333333</v>
      </c>
      <c r="J32" s="118">
        <f t="shared" si="4"/>
        <v>1.4265833333333333</v>
      </c>
      <c r="K32" s="118">
        <f t="shared" si="4"/>
        <v>1.4361999999999999</v>
      </c>
      <c r="L32" s="118">
        <f t="shared" si="4"/>
        <v>1.4245000000000001</v>
      </c>
      <c r="M32" s="118">
        <f t="shared" si="4"/>
        <v>1.4231</v>
      </c>
      <c r="N32" s="118">
        <f t="shared" si="4"/>
        <v>1.3754999999999999</v>
      </c>
      <c r="O32" s="118">
        <f t="shared" si="4"/>
        <v>1.4021076923076923</v>
      </c>
      <c r="P32" s="118">
        <f t="shared" si="4"/>
        <v>1.4675230769230769</v>
      </c>
      <c r="Q32" s="153">
        <f t="shared" si="4"/>
        <v>1.4831076923076922</v>
      </c>
      <c r="R32" s="153">
        <f t="shared" ref="R32" si="7">R6/R$2</f>
        <v>1.5327538461538461</v>
      </c>
      <c r="S32">
        <f t="shared" si="6"/>
        <v>1.4723436411859709</v>
      </c>
    </row>
    <row r="33" spans="2:19">
      <c r="B33" t="s">
        <v>921</v>
      </c>
      <c r="C33">
        <f t="shared" si="4"/>
        <v>1.329</v>
      </c>
      <c r="D33">
        <f t="shared" si="4"/>
        <v>1.3144374999999999</v>
      </c>
      <c r="E33">
        <f t="shared" si="4"/>
        <v>1.2871041666666667</v>
      </c>
      <c r="F33">
        <f t="shared" si="4"/>
        <v>1.2825</v>
      </c>
      <c r="G33">
        <f t="shared" si="4"/>
        <v>1.3423958333333332</v>
      </c>
      <c r="H33">
        <f t="shared" si="4"/>
        <v>1.3740000000000001</v>
      </c>
      <c r="I33">
        <f t="shared" si="4"/>
        <v>1.3435666666666666</v>
      </c>
      <c r="J33">
        <f t="shared" si="4"/>
        <v>1.3972166666666668</v>
      </c>
      <c r="K33">
        <f t="shared" si="4"/>
        <v>1.4336166666666668</v>
      </c>
      <c r="L33">
        <f t="shared" si="4"/>
        <v>1.4248000000000001</v>
      </c>
      <c r="M33">
        <f t="shared" si="4"/>
        <v>1.4393</v>
      </c>
      <c r="N33">
        <f t="shared" si="4"/>
        <v>1.3521000000000001</v>
      </c>
      <c r="O33">
        <f t="shared" si="4"/>
        <v>1.3990153846153845</v>
      </c>
      <c r="P33">
        <f t="shared" si="4"/>
        <v>1.4103538461538461</v>
      </c>
      <c r="Q33">
        <f t="shared" si="4"/>
        <v>1.4381230769230768</v>
      </c>
      <c r="R33">
        <f t="shared" ref="R33" si="8">R7/R$2</f>
        <v>1.4980153846153845</v>
      </c>
      <c r="S33">
        <f t="shared" si="6"/>
        <v>1.4371396823321785</v>
      </c>
    </row>
    <row r="34" spans="2:19">
      <c r="B34" t="s">
        <v>922</v>
      </c>
      <c r="C34">
        <f t="shared" si="4"/>
        <v>1.3301777777777777</v>
      </c>
      <c r="D34">
        <f t="shared" si="4"/>
        <v>1.3331666666666666</v>
      </c>
      <c r="E34">
        <f t="shared" si="4"/>
        <v>1.3040833333333333</v>
      </c>
      <c r="F34">
        <f t="shared" si="4"/>
        <v>1.3235625</v>
      </c>
      <c r="G34">
        <f t="shared" si="4"/>
        <v>1.3525416666666668</v>
      </c>
      <c r="H34">
        <f t="shared" si="4"/>
        <v>1.383</v>
      </c>
      <c r="I34">
        <f t="shared" si="4"/>
        <v>1.3660333333333334</v>
      </c>
      <c r="J34">
        <f t="shared" si="4"/>
        <v>1.4158999999999999</v>
      </c>
      <c r="K34">
        <f t="shared" si="4"/>
        <v>1.4406000000000001</v>
      </c>
      <c r="L34">
        <f t="shared" si="4"/>
        <v>1.4364166666666667</v>
      </c>
      <c r="M34">
        <f t="shared" si="4"/>
        <v>1.4356333333333333</v>
      </c>
      <c r="N34">
        <f t="shared" si="4"/>
        <v>1.3773</v>
      </c>
      <c r="O34">
        <f t="shared" si="4"/>
        <v>1.4017999999999999</v>
      </c>
      <c r="P34">
        <f t="shared" si="4"/>
        <v>1.456076923076923</v>
      </c>
      <c r="Q34">
        <f t="shared" si="4"/>
        <v>1.462276923076923</v>
      </c>
      <c r="R34">
        <f t="shared" ref="R34" si="9">R8/R$2</f>
        <v>1.5131076923076923</v>
      </c>
      <c r="S34">
        <f t="shared" si="6"/>
        <v>1.5200591634772267</v>
      </c>
    </row>
    <row r="35" spans="2:19">
      <c r="B35" t="s">
        <v>923</v>
      </c>
      <c r="C35">
        <f t="shared" si="4"/>
        <v>1.3285555555555555</v>
      </c>
      <c r="D35">
        <f t="shared" si="4"/>
        <v>1.3220833333333333</v>
      </c>
      <c r="E35">
        <f t="shared" si="4"/>
        <v>1.3095833333333333</v>
      </c>
      <c r="F35">
        <f t="shared" si="4"/>
        <v>1.3254583333333334</v>
      </c>
      <c r="G35">
        <f t="shared" si="4"/>
        <v>1.3403958333333332</v>
      </c>
      <c r="H35">
        <f t="shared" si="4"/>
        <v>1.3926041666666666</v>
      </c>
      <c r="I35">
        <f t="shared" si="4"/>
        <v>1.3641000000000001</v>
      </c>
      <c r="J35">
        <f t="shared" si="4"/>
        <v>1.4118999999999999</v>
      </c>
      <c r="K35">
        <f t="shared" si="4"/>
        <v>1.4575</v>
      </c>
      <c r="L35">
        <f t="shared" si="4"/>
        <v>1.4676</v>
      </c>
      <c r="M35">
        <f t="shared" si="4"/>
        <v>1.4118999999999999</v>
      </c>
      <c r="N35">
        <f t="shared" si="4"/>
        <v>1.3595999999999999</v>
      </c>
      <c r="O35">
        <f t="shared" si="4"/>
        <v>1.3666</v>
      </c>
      <c r="P35">
        <f t="shared" si="4"/>
        <v>1.3755230769230768</v>
      </c>
      <c r="Q35">
        <f t="shared" si="4"/>
        <v>1.3915846153846154</v>
      </c>
      <c r="R35">
        <f t="shared" ref="R35" si="10">R9/R$2</f>
        <v>1.4444923076923077</v>
      </c>
      <c r="S35">
        <f t="shared" si="6"/>
        <v>1.4432089331108373</v>
      </c>
    </row>
    <row r="36" spans="2:19">
      <c r="B36" t="s">
        <v>924</v>
      </c>
      <c r="O36">
        <f t="shared" si="4"/>
        <v>1.369923076923077</v>
      </c>
      <c r="P36">
        <f t="shared" si="4"/>
        <v>1.3850307692307693</v>
      </c>
      <c r="Q36">
        <f t="shared" si="4"/>
        <v>1.3874307692307692</v>
      </c>
      <c r="R36">
        <f t="shared" ref="R36" si="11">R10/R$2</f>
        <v>1.4153230769230769</v>
      </c>
      <c r="S36">
        <f t="shared" si="6"/>
        <v>1.4490656394773826</v>
      </c>
    </row>
    <row r="37" spans="2:19">
      <c r="B37" t="s">
        <v>925</v>
      </c>
      <c r="C37">
        <f t="shared" si="4"/>
        <v>1.3922000000000001</v>
      </c>
      <c r="D37">
        <f t="shared" si="4"/>
        <v>1.3244374999999999</v>
      </c>
      <c r="E37">
        <f t="shared" si="4"/>
        <v>1.3256458333333334</v>
      </c>
      <c r="F37">
        <f t="shared" si="4"/>
        <v>1.3373958333333333</v>
      </c>
      <c r="G37">
        <f t="shared" si="4"/>
        <v>1.3420624999999999</v>
      </c>
      <c r="H37">
        <f t="shared" si="4"/>
        <v>1.3531875</v>
      </c>
      <c r="I37">
        <f t="shared" si="4"/>
        <v>1.3455999999999999</v>
      </c>
      <c r="J37">
        <f t="shared" si="4"/>
        <v>1.3628</v>
      </c>
      <c r="K37">
        <f t="shared" si="4"/>
        <v>1.3632</v>
      </c>
      <c r="L37">
        <f t="shared" si="4"/>
        <v>1.3893</v>
      </c>
      <c r="M37">
        <f t="shared" si="4"/>
        <v>1.4689000000000001</v>
      </c>
      <c r="O37">
        <f t="shared" si="4"/>
        <v>1.4691538461538463</v>
      </c>
      <c r="P37">
        <f t="shared" si="4"/>
        <v>1.4336461538461538</v>
      </c>
      <c r="Q37">
        <f t="shared" si="4"/>
        <v>1.4478307692307693</v>
      </c>
      <c r="R37">
        <f t="shared" ref="R37" si="12">R11/R$2</f>
        <v>1.5078461538461538</v>
      </c>
      <c r="S37">
        <f t="shared" si="6"/>
        <v>1.4712806955240763</v>
      </c>
    </row>
    <row r="38" spans="2:19">
      <c r="B38" t="s">
        <v>926</v>
      </c>
      <c r="C38">
        <f t="shared" si="4"/>
        <v>1.2976222222222222</v>
      </c>
      <c r="D38">
        <f t="shared" si="4"/>
        <v>1.3188124999999999</v>
      </c>
      <c r="E38">
        <f t="shared" si="4"/>
        <v>1.2856041666666667</v>
      </c>
      <c r="F38">
        <f t="shared" si="4"/>
        <v>1.2991041666666667</v>
      </c>
      <c r="G38">
        <f t="shared" si="4"/>
        <v>1.2971458333333334</v>
      </c>
      <c r="H38">
        <f t="shared" si="4"/>
        <v>1.3112291666666667</v>
      </c>
      <c r="I38">
        <f t="shared" si="4"/>
        <v>1.2886</v>
      </c>
      <c r="J38">
        <f t="shared" si="4"/>
        <v>1.2871999999999999</v>
      </c>
      <c r="K38">
        <f t="shared" si="4"/>
        <v>1.3120000000000001</v>
      </c>
      <c r="L38">
        <f t="shared" si="4"/>
        <v>1.3265499999999999</v>
      </c>
      <c r="M38">
        <f t="shared" si="4"/>
        <v>1.3591</v>
      </c>
      <c r="N38">
        <f t="shared" si="4"/>
        <v>1.371</v>
      </c>
      <c r="O38">
        <f t="shared" si="4"/>
        <v>1.4021999999999999</v>
      </c>
      <c r="P38">
        <f t="shared" si="4"/>
        <v>1.4076461538461538</v>
      </c>
      <c r="Q38">
        <f t="shared" si="4"/>
        <v>1.4263692307692308</v>
      </c>
      <c r="R38">
        <f t="shared" ref="R38" si="13">R12/R$2</f>
        <v>1.4338</v>
      </c>
      <c r="S38">
        <f t="shared" si="6"/>
        <v>1.4047661870503596</v>
      </c>
    </row>
    <row r="39" spans="2:19">
      <c r="B39" t="s">
        <v>927</v>
      </c>
      <c r="C39">
        <f t="shared" si="4"/>
        <v>1.3392666666666666</v>
      </c>
      <c r="D39">
        <f t="shared" si="4"/>
        <v>1.3381875000000001</v>
      </c>
      <c r="E39">
        <f t="shared" si="4"/>
        <v>1.3475208333333333</v>
      </c>
      <c r="F39">
        <f t="shared" si="4"/>
        <v>1.3415416666666666</v>
      </c>
      <c r="G39">
        <f t="shared" si="4"/>
        <v>1.3571666666666666</v>
      </c>
      <c r="H39">
        <f t="shared" si="4"/>
        <v>1.3657291666666667</v>
      </c>
      <c r="I39">
        <f t="shared" si="4"/>
        <v>1.3424166666666666</v>
      </c>
      <c r="J39">
        <f t="shared" si="4"/>
        <v>1.3756999999999999</v>
      </c>
      <c r="K39">
        <f t="shared" si="4"/>
        <v>1.4318833333333334</v>
      </c>
      <c r="L39">
        <f t="shared" si="4"/>
        <v>1.4189000000000001</v>
      </c>
      <c r="M39">
        <f t="shared" si="4"/>
        <v>1.4233</v>
      </c>
      <c r="N39">
        <f t="shared" si="4"/>
        <v>1.3668</v>
      </c>
      <c r="O39">
        <f t="shared" si="4"/>
        <v>1.3875076923076923</v>
      </c>
      <c r="P39">
        <f t="shared" si="4"/>
        <v>1.4060153846153847</v>
      </c>
      <c r="Q39">
        <f t="shared" si="4"/>
        <v>1.4139384615384616</v>
      </c>
      <c r="R39">
        <f t="shared" ref="R39" si="14">R13/R$2</f>
        <v>1.4494307692307693</v>
      </c>
      <c r="S39">
        <f t="shared" si="6"/>
        <v>1.4242021885444807</v>
      </c>
    </row>
    <row r="40" spans="2:19">
      <c r="B40" s="120" t="s">
        <v>935</v>
      </c>
      <c r="C40" s="118">
        <f>1+'Budget summary'!S61</f>
        <v>1.2942871640851032</v>
      </c>
      <c r="D40" s="118">
        <f>1+'Budget summary'!R61</f>
        <v>1.2712748332245545</v>
      </c>
      <c r="E40" s="118">
        <f>1+'Budget summary'!Q61</f>
        <v>1.2402769780258576</v>
      </c>
      <c r="F40" s="118">
        <f>1+'Budget summary'!P61</f>
        <v>1.2588956391057304</v>
      </c>
      <c r="G40" s="118">
        <f>1+'Budget summary'!O61</f>
        <v>1.2735022936771501</v>
      </c>
      <c r="H40" s="118">
        <f>1+'Budget summary'!N61</f>
        <v>1.3197639640802687</v>
      </c>
      <c r="I40" s="118">
        <f>1+'Budget summary'!M61</f>
        <v>1.3326778979648299</v>
      </c>
      <c r="J40" s="118">
        <f>1+'Budget summary'!L61</f>
        <v>1.3741724900679892</v>
      </c>
      <c r="K40" s="118">
        <f>1+'Budget summary'!K61</f>
        <v>1.3994244313519901</v>
      </c>
      <c r="L40" s="118">
        <f>1+'Budget summary'!J61</f>
        <v>1.3917338438529547</v>
      </c>
      <c r="M40" s="118">
        <f>1+'Budget summary'!I61</f>
        <v>1.3638017864803804</v>
      </c>
      <c r="N40" s="118">
        <f>1+'Budget summary'!H61</f>
        <v>1.3818230132530487</v>
      </c>
      <c r="O40" s="118">
        <f>1+'Budget summary'!G61</f>
        <v>1.406126784603378</v>
      </c>
      <c r="P40" s="118">
        <f>1+'Budget summary'!F61</f>
        <v>1.4563797707945081</v>
      </c>
      <c r="Q40" s="119">
        <f>1+'Budget summary'!E61</f>
        <v>1.4377271524082216</v>
      </c>
      <c r="R40" s="119">
        <f>1+'Budget summary'!D61</f>
        <v>1.4665795822782686</v>
      </c>
      <c r="S40">
        <f>1+'Budget summary'!C61</f>
        <v>1.4662467378860504</v>
      </c>
    </row>
    <row r="41" spans="2:19">
      <c r="B41" s="121" t="s">
        <v>937</v>
      </c>
      <c r="C41">
        <f>1</f>
        <v>1</v>
      </c>
      <c r="D41">
        <f>(D40-1)/($C$40-1)</f>
        <v>0.92180314444875355</v>
      </c>
      <c r="E41">
        <f t="shared" ref="E41:Q41" si="15">(E40-1)/($C$40-1)</f>
        <v>0.81647114570166313</v>
      </c>
      <c r="F41">
        <f t="shared" si="15"/>
        <v>0.87973812894830117</v>
      </c>
      <c r="G41">
        <f t="shared" si="15"/>
        <v>0.92937214753293651</v>
      </c>
      <c r="H41">
        <f t="shared" si="15"/>
        <v>1.0865712239756335</v>
      </c>
      <c r="I41">
        <f t="shared" si="15"/>
        <v>1.13045330739816</v>
      </c>
      <c r="J41">
        <f t="shared" si="15"/>
        <v>1.2714536538868015</v>
      </c>
      <c r="K41">
        <f t="shared" si="15"/>
        <v>1.3572607986275704</v>
      </c>
      <c r="L41">
        <f t="shared" si="15"/>
        <v>1.3311278630544396</v>
      </c>
      <c r="M41">
        <f t="shared" si="15"/>
        <v>1.2362135725878096</v>
      </c>
      <c r="N41">
        <f t="shared" si="15"/>
        <v>1.2974504492578938</v>
      </c>
      <c r="O41">
        <f t="shared" si="15"/>
        <v>1.3800356732036485</v>
      </c>
      <c r="P41">
        <f t="shared" si="15"/>
        <v>1.5507974063813745</v>
      </c>
      <c r="Q41">
        <f t="shared" si="15"/>
        <v>1.4874150347979083</v>
      </c>
      <c r="R41">
        <f t="shared" ref="R41:S41" si="16">(R40-1)/($C$40-1)</f>
        <v>1.5854567892174225</v>
      </c>
      <c r="S41">
        <f t="shared" si="16"/>
        <v>1.5843257701556401</v>
      </c>
    </row>
    <row r="42" spans="2:19">
      <c r="B42" s="121"/>
      <c r="M42" s="24" t="s">
        <v>938</v>
      </c>
      <c r="O42" s="24" t="s">
        <v>939</v>
      </c>
    </row>
    <row r="43" spans="2:19">
      <c r="C43" s="116" t="s">
        <v>941</v>
      </c>
      <c r="D43" s="44" t="s">
        <v>929</v>
      </c>
      <c r="M43">
        <f>0.5*(M41+P41)</f>
        <v>1.3935054894845922</v>
      </c>
      <c r="N43">
        <f>0.5*(N41+Q41)</f>
        <v>1.392432742027901</v>
      </c>
    </row>
    <row r="44" spans="2:19">
      <c r="D44" s="24" t="s">
        <v>930</v>
      </c>
      <c r="E44" s="24" t="s">
        <v>931</v>
      </c>
      <c r="G44" s="24" t="s">
        <v>940</v>
      </c>
    </row>
    <row r="45" spans="2:19">
      <c r="C45" s="116" t="s">
        <v>932</v>
      </c>
      <c r="D45">
        <v>20.76</v>
      </c>
      <c r="E45">
        <v>29.63</v>
      </c>
      <c r="F45">
        <f>1+G45/(1-G45)</f>
        <v>1.4265335235378032</v>
      </c>
      <c r="G45" s="85">
        <v>0.29899999999999999</v>
      </c>
    </row>
    <row r="46" spans="2:19">
      <c r="C46" s="116" t="s">
        <v>933</v>
      </c>
      <c r="D46" s="72">
        <f>E46/F46</f>
        <v>28.092950000000002</v>
      </c>
      <c r="E46">
        <v>42.89</v>
      </c>
      <c r="F46">
        <f>1+G46/(1-G46)</f>
        <v>1.5267175572519083</v>
      </c>
      <c r="G46" s="85">
        <v>0.34499999999999997</v>
      </c>
    </row>
    <row r="47" spans="2:19">
      <c r="D47">
        <f>D46/D45</f>
        <v>1.3532249518304431</v>
      </c>
    </row>
    <row r="49" spans="1:24">
      <c r="A49" s="24"/>
      <c r="B49" s="122" t="s">
        <v>1048</v>
      </c>
      <c r="V49" s="24" t="s">
        <v>1050</v>
      </c>
    </row>
    <row r="50" spans="1:24">
      <c r="B50" s="122" t="s">
        <v>942</v>
      </c>
      <c r="C50" s="23">
        <v>2000</v>
      </c>
      <c r="D50" s="23">
        <v>2001</v>
      </c>
      <c r="E50" s="23">
        <v>2002</v>
      </c>
      <c r="F50" s="23">
        <v>2003</v>
      </c>
      <c r="G50" s="23">
        <v>2004</v>
      </c>
      <c r="H50" s="23">
        <v>2005</v>
      </c>
      <c r="I50" s="23">
        <v>2006</v>
      </c>
      <c r="J50" s="23">
        <v>2007</v>
      </c>
      <c r="K50" s="23">
        <v>2008</v>
      </c>
      <c r="L50" s="23">
        <v>2009</v>
      </c>
      <c r="M50" s="23">
        <v>2010</v>
      </c>
      <c r="N50" s="23">
        <v>2011</v>
      </c>
      <c r="O50" s="23">
        <v>2012</v>
      </c>
      <c r="P50" s="23">
        <v>2013</v>
      </c>
      <c r="Q50" s="23">
        <v>2014</v>
      </c>
      <c r="R50" s="23">
        <v>2015</v>
      </c>
      <c r="S50" s="23">
        <v>2016</v>
      </c>
      <c r="T50" s="23">
        <v>2017</v>
      </c>
      <c r="V50" s="24" t="s">
        <v>1052</v>
      </c>
      <c r="W50" s="24" t="s">
        <v>1051</v>
      </c>
      <c r="X50" s="24" t="s">
        <v>1053</v>
      </c>
    </row>
    <row r="51" spans="1:24">
      <c r="B51" s="121" t="s">
        <v>918</v>
      </c>
      <c r="C51">
        <v>47930</v>
      </c>
      <c r="D51">
        <v>48225</v>
      </c>
      <c r="E51">
        <v>50609</v>
      </c>
      <c r="F51">
        <v>54224</v>
      </c>
      <c r="G51">
        <v>55151</v>
      </c>
      <c r="H51">
        <v>59644</v>
      </c>
      <c r="I51">
        <v>62536</v>
      </c>
      <c r="J51">
        <v>61956</v>
      </c>
      <c r="K51">
        <v>69301</v>
      </c>
      <c r="L51">
        <v>68836</v>
      </c>
      <c r="M51">
        <v>69305</v>
      </c>
      <c r="N51">
        <v>69845</v>
      </c>
      <c r="O51">
        <v>71239</v>
      </c>
      <c r="P51">
        <v>72734</v>
      </c>
      <c r="Q51">
        <v>73705</v>
      </c>
      <c r="R51">
        <v>73612</v>
      </c>
      <c r="S51">
        <v>74431</v>
      </c>
      <c r="V51">
        <v>1436</v>
      </c>
      <c r="W51">
        <v>1434</v>
      </c>
      <c r="X51">
        <v>1433</v>
      </c>
    </row>
    <row r="52" spans="1:24">
      <c r="B52" s="121" t="s">
        <v>919</v>
      </c>
      <c r="C52">
        <v>50652</v>
      </c>
      <c r="D52">
        <v>53830</v>
      </c>
      <c r="E52">
        <v>54142</v>
      </c>
      <c r="F52">
        <v>57836</v>
      </c>
      <c r="G52">
        <v>60100</v>
      </c>
      <c r="H52">
        <v>61827</v>
      </c>
      <c r="I52">
        <v>66295</v>
      </c>
      <c r="J52">
        <v>69156</v>
      </c>
      <c r="K52">
        <v>71148</v>
      </c>
      <c r="L52">
        <v>73103</v>
      </c>
      <c r="M52">
        <v>73783</v>
      </c>
      <c r="N52">
        <v>73742</v>
      </c>
      <c r="O52">
        <v>72635</v>
      </c>
      <c r="P52">
        <v>72997</v>
      </c>
      <c r="Q52">
        <v>74903</v>
      </c>
      <c r="R52">
        <v>76892</v>
      </c>
      <c r="S52">
        <v>78002</v>
      </c>
      <c r="V52">
        <v>1645</v>
      </c>
      <c r="W52">
        <v>1653</v>
      </c>
      <c r="X52">
        <v>1680</v>
      </c>
    </row>
    <row r="53" spans="1:24">
      <c r="B53" s="121" t="s">
        <v>920</v>
      </c>
      <c r="C53">
        <v>48497</v>
      </c>
      <c r="D53">
        <v>49000</v>
      </c>
      <c r="E53">
        <v>51623</v>
      </c>
      <c r="F53">
        <v>53206</v>
      </c>
      <c r="G53">
        <v>55265</v>
      </c>
      <c r="H53">
        <v>57258</v>
      </c>
      <c r="I53">
        <v>60201</v>
      </c>
      <c r="J53">
        <v>62638</v>
      </c>
      <c r="K53">
        <v>64219</v>
      </c>
      <c r="L53">
        <v>66237</v>
      </c>
      <c r="M53">
        <v>64653</v>
      </c>
      <c r="N53">
        <v>64249</v>
      </c>
      <c r="O53">
        <v>63980</v>
      </c>
      <c r="P53">
        <v>64813</v>
      </c>
      <c r="Q53">
        <v>67245</v>
      </c>
      <c r="R53">
        <v>66782</v>
      </c>
      <c r="S53">
        <v>67489</v>
      </c>
      <c r="V53">
        <v>1663</v>
      </c>
      <c r="W53">
        <v>1668</v>
      </c>
      <c r="X53">
        <v>1669</v>
      </c>
    </row>
    <row r="54" spans="1:24">
      <c r="B54" s="121" t="s">
        <v>921</v>
      </c>
      <c r="C54">
        <v>47567</v>
      </c>
      <c r="D54">
        <v>49247</v>
      </c>
      <c r="E54">
        <v>50295</v>
      </c>
      <c r="F54">
        <v>51278</v>
      </c>
      <c r="G54">
        <v>52875</v>
      </c>
      <c r="H54">
        <v>56343</v>
      </c>
      <c r="I54">
        <v>59998</v>
      </c>
      <c r="J54">
        <v>61780</v>
      </c>
      <c r="K54">
        <v>64100</v>
      </c>
      <c r="L54">
        <v>63735</v>
      </c>
      <c r="M54">
        <v>66035</v>
      </c>
      <c r="N54">
        <v>66035</v>
      </c>
      <c r="O54">
        <v>65835</v>
      </c>
      <c r="P54">
        <v>66252</v>
      </c>
      <c r="Q54">
        <v>64750</v>
      </c>
      <c r="R54">
        <v>70625</v>
      </c>
      <c r="S54">
        <v>76495</v>
      </c>
      <c r="T54" s="29"/>
      <c r="U54" s="29"/>
      <c r="V54">
        <v>1765</v>
      </c>
      <c r="W54">
        <v>1773</v>
      </c>
      <c r="X54">
        <v>1766</v>
      </c>
    </row>
    <row r="55" spans="1:24">
      <c r="B55" s="121" t="s">
        <v>922</v>
      </c>
      <c r="C55">
        <v>42177</v>
      </c>
      <c r="D55">
        <v>44925</v>
      </c>
      <c r="E55">
        <v>51419</v>
      </c>
      <c r="F55">
        <v>52789</v>
      </c>
      <c r="G55">
        <v>54181</v>
      </c>
      <c r="H55">
        <v>55805</v>
      </c>
      <c r="I55">
        <v>56932</v>
      </c>
      <c r="J55">
        <v>58540</v>
      </c>
      <c r="K55">
        <v>61248</v>
      </c>
      <c r="L55">
        <v>60032</v>
      </c>
      <c r="M55">
        <v>59734</v>
      </c>
      <c r="N55">
        <v>59376</v>
      </c>
      <c r="O55">
        <v>61304</v>
      </c>
      <c r="P55">
        <v>60875</v>
      </c>
      <c r="Q55">
        <v>62978</v>
      </c>
      <c r="R55">
        <v>63013</v>
      </c>
      <c r="S55">
        <v>65581</v>
      </c>
      <c r="V55">
        <v>1606</v>
      </c>
      <c r="W55">
        <v>1611</v>
      </c>
      <c r="X55">
        <v>1612</v>
      </c>
    </row>
    <row r="56" spans="1:24">
      <c r="B56" s="121" t="s">
        <v>923</v>
      </c>
      <c r="C56">
        <v>41294</v>
      </c>
      <c r="D56">
        <v>42922</v>
      </c>
      <c r="E56">
        <v>45423</v>
      </c>
      <c r="F56">
        <v>48996</v>
      </c>
      <c r="G56">
        <v>52444</v>
      </c>
      <c r="H56">
        <v>54778</v>
      </c>
      <c r="I56">
        <v>56063</v>
      </c>
      <c r="J56">
        <v>58867</v>
      </c>
      <c r="K56">
        <v>61500</v>
      </c>
      <c r="L56">
        <v>63160</v>
      </c>
      <c r="M56">
        <v>61999</v>
      </c>
      <c r="N56">
        <v>60899</v>
      </c>
      <c r="O56">
        <v>61141</v>
      </c>
      <c r="P56">
        <v>60850</v>
      </c>
      <c r="Q56">
        <v>63228</v>
      </c>
      <c r="R56">
        <v>63379</v>
      </c>
      <c r="S56">
        <v>64121</v>
      </c>
      <c r="V56">
        <v>1457</v>
      </c>
      <c r="W56">
        <v>1458</v>
      </c>
      <c r="X56">
        <v>1433</v>
      </c>
    </row>
    <row r="57" spans="1:24">
      <c r="B57" s="121" t="s">
        <v>924</v>
      </c>
      <c r="O57">
        <v>55851</v>
      </c>
      <c r="P57">
        <v>58479</v>
      </c>
      <c r="Q57">
        <v>57993</v>
      </c>
      <c r="R57">
        <v>59638</v>
      </c>
      <c r="S57">
        <v>57633</v>
      </c>
      <c r="V57">
        <v>1496</v>
      </c>
      <c r="W57">
        <v>1495</v>
      </c>
      <c r="X57">
        <v>1437</v>
      </c>
    </row>
    <row r="58" spans="1:24">
      <c r="B58" s="121" t="s">
        <v>925</v>
      </c>
      <c r="C58">
        <v>51267</v>
      </c>
      <c r="D58">
        <v>51010</v>
      </c>
      <c r="E58">
        <v>52658</v>
      </c>
      <c r="F58">
        <v>58680</v>
      </c>
      <c r="G58">
        <v>59076</v>
      </c>
      <c r="H58">
        <v>63131</v>
      </c>
      <c r="I58">
        <v>64725</v>
      </c>
      <c r="J58">
        <v>66611</v>
      </c>
      <c r="K58">
        <v>70942</v>
      </c>
      <c r="L58">
        <v>75517</v>
      </c>
      <c r="M58">
        <v>76483</v>
      </c>
      <c r="O58">
        <v>74694</v>
      </c>
      <c r="P58">
        <v>74855</v>
      </c>
      <c r="Q58">
        <v>74038</v>
      </c>
      <c r="R58">
        <v>75452</v>
      </c>
      <c r="S58">
        <v>76029</v>
      </c>
      <c r="V58">
        <v>1649</v>
      </c>
      <c r="W58">
        <v>1649</v>
      </c>
      <c r="X58">
        <v>1629</v>
      </c>
    </row>
    <row r="59" spans="1:24">
      <c r="B59" s="121" t="s">
        <v>926</v>
      </c>
      <c r="C59">
        <v>42469</v>
      </c>
      <c r="D59">
        <v>42469</v>
      </c>
      <c r="E59">
        <v>43121</v>
      </c>
      <c r="F59">
        <v>45087</v>
      </c>
      <c r="G59">
        <v>45087</v>
      </c>
      <c r="H59">
        <v>51087</v>
      </c>
      <c r="I59">
        <v>52855</v>
      </c>
      <c r="J59">
        <v>54980</v>
      </c>
      <c r="K59">
        <v>57948</v>
      </c>
      <c r="L59">
        <v>70010</v>
      </c>
      <c r="M59">
        <v>67971</v>
      </c>
      <c r="N59">
        <v>64626</v>
      </c>
      <c r="O59">
        <v>63884</v>
      </c>
      <c r="P59">
        <v>63566</v>
      </c>
      <c r="Q59">
        <v>63793</v>
      </c>
      <c r="R59">
        <v>65063</v>
      </c>
      <c r="S59">
        <v>66720</v>
      </c>
      <c r="V59">
        <v>1207</v>
      </c>
      <c r="W59">
        <v>1201</v>
      </c>
      <c r="X59">
        <v>1199</v>
      </c>
    </row>
    <row r="60" spans="1:24">
      <c r="B60" s="121" t="s">
        <v>927</v>
      </c>
      <c r="C60">
        <v>41389</v>
      </c>
      <c r="D60">
        <v>43046</v>
      </c>
      <c r="E60">
        <v>44798</v>
      </c>
      <c r="F60">
        <v>46155</v>
      </c>
      <c r="G60">
        <v>47963</v>
      </c>
      <c r="H60">
        <v>50215</v>
      </c>
      <c r="I60">
        <v>51607</v>
      </c>
      <c r="J60">
        <v>53413</v>
      </c>
      <c r="K60">
        <v>55788</v>
      </c>
      <c r="L60">
        <v>57406</v>
      </c>
      <c r="M60">
        <v>59330</v>
      </c>
      <c r="N60">
        <v>60163</v>
      </c>
      <c r="O60">
        <v>59367</v>
      </c>
      <c r="P60">
        <v>58893</v>
      </c>
      <c r="Q60">
        <v>60408</v>
      </c>
      <c r="R60">
        <v>61525</v>
      </c>
      <c r="S60">
        <v>65523</v>
      </c>
      <c r="V60">
        <v>1498</v>
      </c>
      <c r="W60">
        <v>1511</v>
      </c>
      <c r="X60">
        <v>1507</v>
      </c>
    </row>
    <row r="61" spans="1:24">
      <c r="B61" s="121"/>
    </row>
    <row r="62" spans="1:24">
      <c r="B62" s="122" t="s">
        <v>1037</v>
      </c>
      <c r="V62" s="166" t="s">
        <v>1058</v>
      </c>
      <c r="W62" s="166"/>
      <c r="X62" s="166"/>
    </row>
    <row r="63" spans="1:24">
      <c r="B63" s="122" t="s">
        <v>1049</v>
      </c>
      <c r="C63" s="23">
        <v>2000</v>
      </c>
      <c r="D63" s="23">
        <v>2001</v>
      </c>
      <c r="E63" s="23">
        <v>2002</v>
      </c>
      <c r="F63" s="23">
        <v>2003</v>
      </c>
      <c r="G63" s="23">
        <v>2004</v>
      </c>
      <c r="H63" s="23">
        <v>2005</v>
      </c>
      <c r="I63" s="23">
        <v>2006</v>
      </c>
      <c r="J63" s="23">
        <v>2007</v>
      </c>
      <c r="K63" s="23">
        <v>2008</v>
      </c>
      <c r="L63" s="23">
        <v>2009</v>
      </c>
      <c r="M63" s="23">
        <v>2010</v>
      </c>
      <c r="N63" s="23">
        <v>2011</v>
      </c>
      <c r="O63" s="23">
        <v>2012</v>
      </c>
      <c r="P63" s="23">
        <v>2013</v>
      </c>
      <c r="Q63" s="23">
        <v>2014</v>
      </c>
      <c r="R63" s="23">
        <v>2015</v>
      </c>
      <c r="S63" s="23">
        <v>2016</v>
      </c>
      <c r="T63" s="23">
        <v>2017</v>
      </c>
      <c r="V63" s="24" t="s">
        <v>1052</v>
      </c>
      <c r="W63" s="24" t="s">
        <v>1051</v>
      </c>
      <c r="X63" s="24" t="s">
        <v>1053</v>
      </c>
    </row>
    <row r="64" spans="1:24">
      <c r="B64" s="121" t="s">
        <v>918</v>
      </c>
      <c r="C64">
        <v>49385</v>
      </c>
      <c r="D64">
        <v>50619</v>
      </c>
      <c r="E64">
        <v>54116</v>
      </c>
      <c r="F64">
        <v>55469</v>
      </c>
      <c r="G64">
        <v>55547</v>
      </c>
      <c r="H64">
        <v>56658</v>
      </c>
      <c r="I64">
        <v>57791</v>
      </c>
      <c r="J64">
        <v>63642</v>
      </c>
      <c r="K64">
        <v>64596</v>
      </c>
      <c r="L64">
        <v>64596</v>
      </c>
      <c r="M64">
        <v>65269</v>
      </c>
      <c r="N64">
        <v>64596</v>
      </c>
      <c r="O64">
        <v>66052</v>
      </c>
      <c r="P64">
        <v>70808</v>
      </c>
      <c r="Q64">
        <v>70808</v>
      </c>
      <c r="R64">
        <v>76626</v>
      </c>
      <c r="S64">
        <v>74376</v>
      </c>
      <c r="V64">
        <f>V51</f>
        <v>1436</v>
      </c>
      <c r="W64">
        <f>W51</f>
        <v>1434</v>
      </c>
      <c r="X64">
        <f>X51</f>
        <v>1433</v>
      </c>
    </row>
    <row r="65" spans="1:25">
      <c r="B65" s="121" t="s">
        <v>919</v>
      </c>
      <c r="C65">
        <v>49240</v>
      </c>
      <c r="D65">
        <v>50717</v>
      </c>
      <c r="E65">
        <v>52239</v>
      </c>
      <c r="F65">
        <v>55223</v>
      </c>
      <c r="G65">
        <v>56327</v>
      </c>
      <c r="H65">
        <v>57454</v>
      </c>
      <c r="I65">
        <v>62137</v>
      </c>
      <c r="J65">
        <v>64001</v>
      </c>
      <c r="K65">
        <v>65409</v>
      </c>
      <c r="L65">
        <v>66848</v>
      </c>
      <c r="M65">
        <v>66848</v>
      </c>
      <c r="N65">
        <v>66848</v>
      </c>
      <c r="O65">
        <v>66848</v>
      </c>
      <c r="P65">
        <v>71982</v>
      </c>
      <c r="Q65">
        <v>71982</v>
      </c>
      <c r="R65">
        <v>77093</v>
      </c>
      <c r="S65">
        <v>77093</v>
      </c>
      <c r="V65">
        <f t="shared" ref="V65:X65" si="17">V52</f>
        <v>1645</v>
      </c>
      <c r="W65">
        <f t="shared" si="17"/>
        <v>1653</v>
      </c>
      <c r="X65">
        <f t="shared" si="17"/>
        <v>1680</v>
      </c>
    </row>
    <row r="66" spans="1:25">
      <c r="B66" s="121" t="s">
        <v>920</v>
      </c>
      <c r="C66">
        <v>45953</v>
      </c>
      <c r="D66">
        <v>48252</v>
      </c>
      <c r="E66">
        <v>49877</v>
      </c>
      <c r="F66">
        <v>50874</v>
      </c>
      <c r="G66">
        <v>52430</v>
      </c>
      <c r="H66">
        <v>54002</v>
      </c>
      <c r="I66">
        <v>56259</v>
      </c>
      <c r="J66">
        <v>58067</v>
      </c>
      <c r="K66">
        <v>59717</v>
      </c>
      <c r="L66">
        <v>60911</v>
      </c>
      <c r="M66">
        <v>59191</v>
      </c>
      <c r="N66">
        <v>57524</v>
      </c>
      <c r="O66">
        <v>58099</v>
      </c>
      <c r="P66">
        <v>58303</v>
      </c>
      <c r="Q66">
        <v>59590</v>
      </c>
      <c r="R66">
        <v>61253</v>
      </c>
      <c r="S66">
        <v>61633</v>
      </c>
      <c r="V66">
        <f t="shared" ref="V66:X66" si="18">V53</f>
        <v>1663</v>
      </c>
      <c r="W66">
        <f t="shared" si="18"/>
        <v>1668</v>
      </c>
      <c r="X66">
        <f t="shared" si="18"/>
        <v>1669</v>
      </c>
    </row>
    <row r="67" spans="1:25">
      <c r="B67" s="121" t="s">
        <v>921</v>
      </c>
      <c r="C67">
        <v>44298</v>
      </c>
      <c r="D67">
        <v>46378</v>
      </c>
      <c r="E67">
        <v>51058</v>
      </c>
      <c r="F67">
        <v>52592</v>
      </c>
      <c r="G67">
        <v>53643</v>
      </c>
      <c r="H67">
        <v>55147</v>
      </c>
      <c r="I67">
        <v>57142</v>
      </c>
      <c r="J67">
        <v>59489</v>
      </c>
      <c r="K67">
        <v>61500</v>
      </c>
      <c r="L67">
        <v>63340</v>
      </c>
      <c r="M67">
        <v>62388</v>
      </c>
      <c r="N67">
        <v>62388</v>
      </c>
      <c r="O67">
        <v>62390</v>
      </c>
      <c r="P67">
        <v>62388</v>
      </c>
      <c r="Q67">
        <v>63012</v>
      </c>
      <c r="R67">
        <v>68541</v>
      </c>
      <c r="S67">
        <v>72140</v>
      </c>
      <c r="V67">
        <f t="shared" ref="V67:X67" si="19">V54</f>
        <v>1765</v>
      </c>
      <c r="W67">
        <f t="shared" si="19"/>
        <v>1773</v>
      </c>
      <c r="X67">
        <f t="shared" si="19"/>
        <v>1766</v>
      </c>
    </row>
    <row r="68" spans="1:25">
      <c r="B68" s="121" t="s">
        <v>922</v>
      </c>
      <c r="C68">
        <v>42274</v>
      </c>
      <c r="D68">
        <v>45233</v>
      </c>
      <c r="E68">
        <v>49218</v>
      </c>
      <c r="F68">
        <v>50202</v>
      </c>
      <c r="G68">
        <v>50705</v>
      </c>
      <c r="H68">
        <v>52226</v>
      </c>
      <c r="I68">
        <v>54369</v>
      </c>
      <c r="J68">
        <v>56271</v>
      </c>
      <c r="K68">
        <v>57380</v>
      </c>
      <c r="L68">
        <v>58687</v>
      </c>
      <c r="M68">
        <v>55568</v>
      </c>
      <c r="N68">
        <v>53818</v>
      </c>
      <c r="O68">
        <v>53693</v>
      </c>
      <c r="P68">
        <v>54040</v>
      </c>
      <c r="Q68">
        <v>55078</v>
      </c>
      <c r="R68">
        <v>60086</v>
      </c>
      <c r="S68">
        <v>60687</v>
      </c>
      <c r="V68">
        <f t="shared" ref="V68:X68" si="20">V55</f>
        <v>1606</v>
      </c>
      <c r="W68">
        <f t="shared" si="20"/>
        <v>1611</v>
      </c>
      <c r="X68">
        <f t="shared" si="20"/>
        <v>1612</v>
      </c>
    </row>
    <row r="69" spans="1:25">
      <c r="B69" s="121" t="s">
        <v>923</v>
      </c>
      <c r="C69">
        <v>41426</v>
      </c>
      <c r="D69">
        <v>42923</v>
      </c>
      <c r="E69">
        <v>44537</v>
      </c>
      <c r="F69">
        <v>48296</v>
      </c>
      <c r="G69">
        <v>50523</v>
      </c>
      <c r="H69">
        <v>52038</v>
      </c>
      <c r="I69">
        <v>53598</v>
      </c>
      <c r="J69">
        <v>55303</v>
      </c>
      <c r="K69">
        <v>56497</v>
      </c>
      <c r="L69">
        <v>58283</v>
      </c>
      <c r="M69">
        <v>56585</v>
      </c>
      <c r="N69">
        <v>56585</v>
      </c>
      <c r="O69">
        <v>53011</v>
      </c>
      <c r="P69">
        <v>54197</v>
      </c>
      <c r="Q69">
        <v>58562</v>
      </c>
      <c r="R69">
        <v>61642</v>
      </c>
      <c r="S69">
        <v>61642</v>
      </c>
      <c r="V69">
        <f t="shared" ref="V69:X69" si="21">V56</f>
        <v>1457</v>
      </c>
      <c r="W69">
        <f t="shared" si="21"/>
        <v>1458</v>
      </c>
      <c r="X69">
        <f t="shared" si="21"/>
        <v>1433</v>
      </c>
    </row>
    <row r="70" spans="1:25">
      <c r="B70" s="121" t="s">
        <v>924</v>
      </c>
      <c r="O70">
        <v>55637</v>
      </c>
      <c r="P70">
        <v>55758</v>
      </c>
      <c r="Q70">
        <v>55879</v>
      </c>
      <c r="R70">
        <v>58373</v>
      </c>
      <c r="S70">
        <v>57991</v>
      </c>
      <c r="V70">
        <f t="shared" ref="V70:X70" si="22">V57</f>
        <v>1496</v>
      </c>
      <c r="W70">
        <f t="shared" si="22"/>
        <v>1495</v>
      </c>
      <c r="X70">
        <f t="shared" si="22"/>
        <v>1437</v>
      </c>
    </row>
    <row r="71" spans="1:25">
      <c r="A71" s="143"/>
      <c r="B71" s="121" t="s">
        <v>925</v>
      </c>
      <c r="C71">
        <v>46667</v>
      </c>
      <c r="D71">
        <v>48761</v>
      </c>
      <c r="E71">
        <v>51199</v>
      </c>
      <c r="F71">
        <v>53758</v>
      </c>
      <c r="G71">
        <v>56445</v>
      </c>
      <c r="H71">
        <v>57575</v>
      </c>
      <c r="I71">
        <v>59159</v>
      </c>
      <c r="J71">
        <v>61544</v>
      </c>
      <c r="K71">
        <v>64498</v>
      </c>
      <c r="L71">
        <v>67723</v>
      </c>
      <c r="M71">
        <v>67723</v>
      </c>
      <c r="O71">
        <v>67723</v>
      </c>
      <c r="P71">
        <v>67723</v>
      </c>
      <c r="Q71">
        <v>67723</v>
      </c>
      <c r="R71">
        <v>67723</v>
      </c>
      <c r="S71">
        <v>68739</v>
      </c>
      <c r="V71">
        <f t="shared" ref="V71:X71" si="23">V58</f>
        <v>1649</v>
      </c>
      <c r="W71">
        <f t="shared" si="23"/>
        <v>1649</v>
      </c>
      <c r="X71">
        <f t="shared" si="23"/>
        <v>1629</v>
      </c>
    </row>
    <row r="72" spans="1:25">
      <c r="B72" s="121" t="s">
        <v>926</v>
      </c>
      <c r="C72">
        <v>40176</v>
      </c>
      <c r="D72">
        <v>40176</v>
      </c>
      <c r="E72">
        <v>46405</v>
      </c>
      <c r="F72">
        <v>48957</v>
      </c>
      <c r="G72">
        <v>48957</v>
      </c>
      <c r="H72">
        <v>49475</v>
      </c>
      <c r="I72">
        <v>52987</v>
      </c>
      <c r="J72">
        <v>58253</v>
      </c>
      <c r="K72">
        <v>61166</v>
      </c>
      <c r="L72">
        <v>63793</v>
      </c>
      <c r="M72">
        <v>63020</v>
      </c>
      <c r="N72">
        <v>63020</v>
      </c>
      <c r="O72">
        <v>63020</v>
      </c>
      <c r="P72">
        <v>63020</v>
      </c>
      <c r="Q72">
        <v>60188</v>
      </c>
      <c r="R72">
        <v>64776</v>
      </c>
      <c r="S72">
        <v>64776</v>
      </c>
      <c r="V72">
        <f t="shared" ref="V72:X72" si="24">V59</f>
        <v>1207</v>
      </c>
      <c r="W72">
        <f t="shared" si="24"/>
        <v>1201</v>
      </c>
      <c r="X72">
        <f t="shared" si="24"/>
        <v>1199</v>
      </c>
    </row>
    <row r="73" spans="1:25">
      <c r="B73" s="121" t="s">
        <v>927</v>
      </c>
      <c r="C73">
        <v>41829</v>
      </c>
      <c r="D73">
        <v>43620</v>
      </c>
      <c r="E73">
        <v>46205</v>
      </c>
      <c r="F73">
        <v>48234</v>
      </c>
      <c r="G73">
        <v>50460</v>
      </c>
      <c r="H73">
        <v>51974</v>
      </c>
      <c r="I73">
        <v>53533</v>
      </c>
      <c r="J73">
        <v>55245</v>
      </c>
      <c r="K73">
        <v>56350</v>
      </c>
      <c r="L73">
        <v>57364</v>
      </c>
      <c r="M73">
        <v>57309</v>
      </c>
      <c r="N73">
        <v>57309</v>
      </c>
      <c r="O73">
        <v>58312</v>
      </c>
      <c r="P73">
        <v>58895</v>
      </c>
      <c r="Q73">
        <v>60662</v>
      </c>
      <c r="R73">
        <v>62482</v>
      </c>
      <c r="S73">
        <v>59482</v>
      </c>
      <c r="V73">
        <f t="shared" ref="V73:X73" si="25">V60</f>
        <v>1498</v>
      </c>
      <c r="W73">
        <f t="shared" si="25"/>
        <v>1511</v>
      </c>
      <c r="X73">
        <f t="shared" si="25"/>
        <v>1507</v>
      </c>
    </row>
    <row r="74" spans="1:25">
      <c r="F74" s="24"/>
      <c r="H74" s="24"/>
      <c r="V74">
        <f>CORREL(Q64:Q73,V64:V73)</f>
        <v>0.16980992342086923</v>
      </c>
      <c r="W74">
        <f>CORREL(R64:R73,W64:W73)</f>
        <v>0.11461776240507852</v>
      </c>
      <c r="X74">
        <f>CORREL(S64:S73,X64:X73)</f>
        <v>0.32031896466080978</v>
      </c>
    </row>
    <row r="75" spans="1:25">
      <c r="B75" s="122" t="s">
        <v>974</v>
      </c>
      <c r="C75">
        <v>2000</v>
      </c>
      <c r="D75">
        <v>2001</v>
      </c>
      <c r="E75">
        <v>2002</v>
      </c>
      <c r="F75">
        <v>2003</v>
      </c>
      <c r="G75">
        <v>2004</v>
      </c>
      <c r="H75">
        <v>2005</v>
      </c>
      <c r="I75">
        <v>2006</v>
      </c>
      <c r="J75">
        <v>2007</v>
      </c>
      <c r="K75">
        <v>2008</v>
      </c>
      <c r="L75">
        <v>2009</v>
      </c>
      <c r="M75">
        <v>2010</v>
      </c>
      <c r="N75">
        <v>2011</v>
      </c>
      <c r="O75">
        <v>2012</v>
      </c>
      <c r="P75">
        <v>2013</v>
      </c>
      <c r="Q75">
        <v>2014</v>
      </c>
      <c r="R75">
        <v>2015</v>
      </c>
      <c r="S75">
        <v>2016</v>
      </c>
      <c r="T75" s="24" t="s">
        <v>1057</v>
      </c>
      <c r="X75">
        <v>2016</v>
      </c>
      <c r="Y75" t="s">
        <v>1084</v>
      </c>
    </row>
    <row r="76" spans="1:25">
      <c r="B76" s="121" t="s">
        <v>918</v>
      </c>
      <c r="C76" s="29">
        <f>C64*C30</f>
        <v>65804.963777777768</v>
      </c>
      <c r="D76" s="29">
        <f t="shared" ref="D76:R76" si="26">D64*D30</f>
        <v>65682.370750000002</v>
      </c>
      <c r="E76" s="29">
        <f t="shared" si="26"/>
        <v>69561.608333333337</v>
      </c>
      <c r="F76" s="29">
        <f t="shared" si="26"/>
        <v>75740.608291666678</v>
      </c>
      <c r="G76" s="29">
        <f t="shared" si="26"/>
        <v>72583.727791666664</v>
      </c>
      <c r="H76" s="29">
        <f t="shared" si="26"/>
        <v>75598.297250000003</v>
      </c>
      <c r="I76" s="29">
        <f t="shared" si="26"/>
        <v>76875.514566666665</v>
      </c>
      <c r="J76" s="29">
        <f t="shared" si="26"/>
        <v>87590.484600000011</v>
      </c>
      <c r="K76" s="29">
        <f t="shared" si="26"/>
        <v>91002.844800000006</v>
      </c>
      <c r="L76" s="29">
        <f t="shared" si="26"/>
        <v>93018.239999999991</v>
      </c>
      <c r="M76" s="29">
        <f t="shared" si="26"/>
        <v>93850.295100000003</v>
      </c>
      <c r="N76" s="29">
        <f t="shared" si="26"/>
        <v>92268.926399999997</v>
      </c>
      <c r="O76" s="29">
        <f t="shared" si="26"/>
        <v>96656.432061538464</v>
      </c>
      <c r="P76" s="29">
        <f t="shared" si="26"/>
        <v>106460.37267692307</v>
      </c>
      <c r="Q76" s="29">
        <f t="shared" si="26"/>
        <v>106862.34424615385</v>
      </c>
      <c r="R76" s="29">
        <f t="shared" si="26"/>
        <v>117466.47913846154</v>
      </c>
      <c r="S76" s="29">
        <f t="shared" ref="S76" si="27">S64*S30</f>
        <v>108096.06448925851</v>
      </c>
      <c r="T76" s="29">
        <f>RANK(S76,S$76:S$85)</f>
        <v>1</v>
      </c>
      <c r="X76">
        <v>14212</v>
      </c>
    </row>
    <row r="77" spans="1:25">
      <c r="B77" s="121" t="s">
        <v>919</v>
      </c>
      <c r="C77" s="29">
        <f t="shared" ref="C77:R77" si="28">C65*C31</f>
        <v>63156.318222222224</v>
      </c>
      <c r="D77" s="29">
        <f t="shared" si="28"/>
        <v>64149.608770833329</v>
      </c>
      <c r="E77" s="29">
        <f t="shared" si="28"/>
        <v>66737.499125000002</v>
      </c>
      <c r="F77" s="29">
        <f t="shared" si="28"/>
        <v>70657.828500000003</v>
      </c>
      <c r="G77" s="29">
        <f t="shared" si="28"/>
        <v>77409.726708333328</v>
      </c>
      <c r="H77" s="29">
        <f t="shared" si="28"/>
        <v>81181.305041666667</v>
      </c>
      <c r="I77" s="29">
        <f t="shared" si="28"/>
        <v>86410.819049999991</v>
      </c>
      <c r="J77" s="29">
        <f t="shared" si="28"/>
        <v>91339.027149999994</v>
      </c>
      <c r="K77" s="29">
        <f t="shared" si="28"/>
        <v>95536.385399999999</v>
      </c>
      <c r="L77" s="29">
        <f t="shared" si="28"/>
        <v>95866.716799999995</v>
      </c>
      <c r="M77" s="29">
        <f t="shared" si="28"/>
        <v>94970.953600000008</v>
      </c>
      <c r="N77" s="29">
        <f t="shared" si="28"/>
        <v>91534.96639999999</v>
      </c>
      <c r="O77" s="29">
        <f t="shared" si="28"/>
        <v>93195.367876923076</v>
      </c>
      <c r="P77" s="29">
        <f t="shared" si="28"/>
        <v>102023.96455384616</v>
      </c>
      <c r="Q77" s="29">
        <f t="shared" si="28"/>
        <v>105782.53236923077</v>
      </c>
      <c r="R77" s="29">
        <f t="shared" si="28"/>
        <v>110729.26892307692</v>
      </c>
      <c r="S77" s="29">
        <f t="shared" ref="S77" si="29">S65*S31</f>
        <v>107105.12838132355</v>
      </c>
      <c r="T77" s="29">
        <f t="shared" ref="T77:T85" si="30">RANK(S77,S$76:S$85)</f>
        <v>2</v>
      </c>
      <c r="X77">
        <v>24523</v>
      </c>
    </row>
    <row r="78" spans="1:25">
      <c r="B78" s="121" t="s">
        <v>920</v>
      </c>
      <c r="C78" s="29">
        <f t="shared" ref="C78:R78" si="31">C66*C32</f>
        <v>61426.906866666664</v>
      </c>
      <c r="D78" s="29">
        <f t="shared" si="31"/>
        <v>62857.277249999999</v>
      </c>
      <c r="E78" s="29">
        <f t="shared" si="31"/>
        <v>63757.353458333331</v>
      </c>
      <c r="F78" s="29">
        <f t="shared" si="31"/>
        <v>65470.5985</v>
      </c>
      <c r="G78" s="29">
        <f t="shared" si="31"/>
        <v>71809.438750000001</v>
      </c>
      <c r="H78" s="29">
        <f t="shared" si="31"/>
        <v>75971.813666666669</v>
      </c>
      <c r="I78" s="29">
        <f t="shared" si="31"/>
        <v>78151.252200000003</v>
      </c>
      <c r="J78" s="29">
        <f t="shared" si="31"/>
        <v>82837.414416666667</v>
      </c>
      <c r="K78" s="29">
        <f t="shared" si="31"/>
        <v>85765.555399999997</v>
      </c>
      <c r="L78" s="29">
        <f t="shared" si="31"/>
        <v>86767.719500000007</v>
      </c>
      <c r="M78" s="29">
        <f t="shared" si="31"/>
        <v>84234.712100000004</v>
      </c>
      <c r="N78" s="29">
        <f t="shared" si="31"/>
        <v>79124.262000000002</v>
      </c>
      <c r="O78" s="29">
        <f t="shared" si="31"/>
        <v>81461.054815384618</v>
      </c>
      <c r="P78" s="29">
        <f t="shared" si="31"/>
        <v>85560.997953846148</v>
      </c>
      <c r="Q78" s="29">
        <f t="shared" si="31"/>
        <v>88378.387384615387</v>
      </c>
      <c r="R78" s="29">
        <f t="shared" si="31"/>
        <v>93885.771338461534</v>
      </c>
      <c r="S78" s="29">
        <f t="shared" ref="S78" si="32">S66*S32</f>
        <v>90744.955637214953</v>
      </c>
      <c r="T78" s="29">
        <f t="shared" si="30"/>
        <v>7</v>
      </c>
      <c r="X78">
        <v>185914</v>
      </c>
    </row>
    <row r="79" spans="1:25">
      <c r="B79" s="121" t="s">
        <v>921</v>
      </c>
      <c r="C79" s="29">
        <f t="shared" ref="C79:R79" si="33">C67*C33</f>
        <v>58872.042000000001</v>
      </c>
      <c r="D79" s="29">
        <f t="shared" si="33"/>
        <v>60960.982375</v>
      </c>
      <c r="E79" s="29">
        <f t="shared" si="33"/>
        <v>65716.964541666675</v>
      </c>
      <c r="F79" s="29">
        <f t="shared" si="33"/>
        <v>67449.240000000005</v>
      </c>
      <c r="G79" s="29">
        <f t="shared" si="33"/>
        <v>72010.139687499992</v>
      </c>
      <c r="H79" s="29">
        <f t="shared" si="33"/>
        <v>75771.978000000003</v>
      </c>
      <c r="I79" s="29">
        <f t="shared" si="33"/>
        <v>76774.08646666666</v>
      </c>
      <c r="J79" s="29">
        <f t="shared" si="33"/>
        <v>83119.022283333339</v>
      </c>
      <c r="K79" s="29">
        <f t="shared" si="33"/>
        <v>88167.425000000003</v>
      </c>
      <c r="L79" s="29">
        <f t="shared" si="33"/>
        <v>90246.832000000009</v>
      </c>
      <c r="M79" s="29">
        <f t="shared" si="33"/>
        <v>89795.0484</v>
      </c>
      <c r="N79" s="29">
        <f t="shared" si="33"/>
        <v>84354.814800000007</v>
      </c>
      <c r="O79" s="29">
        <f t="shared" si="33"/>
        <v>87284.569846153841</v>
      </c>
      <c r="P79" s="29">
        <f t="shared" si="33"/>
        <v>87989.155753846149</v>
      </c>
      <c r="Q79" s="29">
        <f t="shared" si="33"/>
        <v>90619.01132307692</v>
      </c>
      <c r="R79" s="29">
        <f t="shared" si="33"/>
        <v>102675.47247692307</v>
      </c>
      <c r="S79" s="29">
        <f t="shared" ref="S79" si="34">S67*S33</f>
        <v>103675.25668344335</v>
      </c>
      <c r="T79" s="29">
        <f t="shared" si="30"/>
        <v>3</v>
      </c>
      <c r="X79">
        <v>2459</v>
      </c>
    </row>
    <row r="80" spans="1:25">
      <c r="B80" s="121" t="s">
        <v>922</v>
      </c>
      <c r="C80" s="29">
        <f t="shared" ref="C80:R80" si="35">C68*C34</f>
        <v>56231.935377777772</v>
      </c>
      <c r="D80" s="29">
        <f t="shared" si="35"/>
        <v>60303.127833333332</v>
      </c>
      <c r="E80" s="29">
        <f t="shared" si="35"/>
        <v>64184.373499999994</v>
      </c>
      <c r="F80" s="29">
        <f t="shared" si="35"/>
        <v>66445.484624999997</v>
      </c>
      <c r="G80" s="29">
        <f t="shared" si="35"/>
        <v>68580.625208333338</v>
      </c>
      <c r="H80" s="29">
        <f t="shared" si="35"/>
        <v>72228.558000000005</v>
      </c>
      <c r="I80" s="29">
        <f t="shared" si="35"/>
        <v>74269.866300000009</v>
      </c>
      <c r="J80" s="29">
        <f t="shared" si="35"/>
        <v>79674.108899999992</v>
      </c>
      <c r="K80" s="29">
        <f t="shared" si="35"/>
        <v>82661.628000000012</v>
      </c>
      <c r="L80" s="29">
        <f t="shared" si="35"/>
        <v>84298.984916666668</v>
      </c>
      <c r="M80" s="29">
        <f t="shared" si="35"/>
        <v>79775.273066666661</v>
      </c>
      <c r="N80" s="29">
        <f t="shared" si="35"/>
        <v>74123.531399999993</v>
      </c>
      <c r="O80" s="29">
        <f t="shared" si="35"/>
        <v>75266.847399999999</v>
      </c>
      <c r="P80" s="29">
        <f t="shared" si="35"/>
        <v>78686.396923076914</v>
      </c>
      <c r="Q80" s="29">
        <f t="shared" si="35"/>
        <v>80539.288369230766</v>
      </c>
      <c r="R80" s="29">
        <f t="shared" si="35"/>
        <v>90916.588799999998</v>
      </c>
      <c r="S80" s="29">
        <f t="shared" ref="S80" si="36">S68*S34</f>
        <v>92247.830453942457</v>
      </c>
      <c r="T80" s="29">
        <f t="shared" si="30"/>
        <v>5</v>
      </c>
      <c r="X80">
        <v>73461</v>
      </c>
    </row>
    <row r="81" spans="2:24">
      <c r="B81" s="121" t="s">
        <v>923</v>
      </c>
      <c r="C81" s="29">
        <f t="shared" ref="C81:R81" si="37">C69*C35</f>
        <v>55036.74244444444</v>
      </c>
      <c r="D81" s="29">
        <f t="shared" si="37"/>
        <v>56747.782916666663</v>
      </c>
      <c r="E81" s="29">
        <f t="shared" si="37"/>
        <v>58324.912916666668</v>
      </c>
      <c r="F81" s="29">
        <f t="shared" si="37"/>
        <v>64014.335666666673</v>
      </c>
      <c r="G81" s="29">
        <f t="shared" si="37"/>
        <v>67720.818687499996</v>
      </c>
      <c r="H81" s="29">
        <f t="shared" si="37"/>
        <v>72468.335624999992</v>
      </c>
      <c r="I81" s="29">
        <f t="shared" si="37"/>
        <v>73113.031800000012</v>
      </c>
      <c r="J81" s="29">
        <f t="shared" si="37"/>
        <v>78082.305699999997</v>
      </c>
      <c r="K81" s="29">
        <f t="shared" si="37"/>
        <v>82344.377500000002</v>
      </c>
      <c r="L81" s="29">
        <f t="shared" si="37"/>
        <v>85536.130799999999</v>
      </c>
      <c r="M81" s="29">
        <f t="shared" si="37"/>
        <v>79892.361499999999</v>
      </c>
      <c r="N81" s="29">
        <f t="shared" si="37"/>
        <v>76932.966</v>
      </c>
      <c r="O81" s="29">
        <f t="shared" si="37"/>
        <v>72444.832600000009</v>
      </c>
      <c r="P81" s="29">
        <f t="shared" si="37"/>
        <v>74549.224199999997</v>
      </c>
      <c r="Q81" s="29">
        <f t="shared" si="37"/>
        <v>81493.978246153842</v>
      </c>
      <c r="R81" s="29">
        <f t="shared" si="37"/>
        <v>89041.394830769234</v>
      </c>
      <c r="S81" s="29">
        <f t="shared" ref="S81" si="38">S69*S35</f>
        <v>88962.285054818232</v>
      </c>
      <c r="T81" s="29">
        <f t="shared" si="30"/>
        <v>8</v>
      </c>
      <c r="X81">
        <v>7400</v>
      </c>
    </row>
    <row r="82" spans="2:24">
      <c r="B82" s="121" t="s">
        <v>924</v>
      </c>
      <c r="C82" s="29">
        <f t="shared" ref="C82:R82" si="39">C70*C36</f>
        <v>0</v>
      </c>
      <c r="D82" s="29">
        <f t="shared" si="39"/>
        <v>0</v>
      </c>
      <c r="E82" s="29">
        <f t="shared" si="39"/>
        <v>0</v>
      </c>
      <c r="F82" s="29">
        <f t="shared" si="39"/>
        <v>0</v>
      </c>
      <c r="G82" s="29">
        <f t="shared" si="39"/>
        <v>0</v>
      </c>
      <c r="H82" s="29">
        <f t="shared" si="39"/>
        <v>0</v>
      </c>
      <c r="I82" s="29">
        <f t="shared" si="39"/>
        <v>0</v>
      </c>
      <c r="J82" s="29">
        <f t="shared" si="39"/>
        <v>0</v>
      </c>
      <c r="K82" s="29">
        <f t="shared" si="39"/>
        <v>0</v>
      </c>
      <c r="L82" s="29">
        <f t="shared" si="39"/>
        <v>0</v>
      </c>
      <c r="M82" s="29">
        <f t="shared" si="39"/>
        <v>0</v>
      </c>
      <c r="N82" s="29">
        <f t="shared" si="39"/>
        <v>0</v>
      </c>
      <c r="O82" s="29">
        <f t="shared" si="39"/>
        <v>76218.410230769237</v>
      </c>
      <c r="P82" s="29">
        <f t="shared" si="39"/>
        <v>77226.545630769237</v>
      </c>
      <c r="Q82" s="29">
        <f t="shared" si="39"/>
        <v>77528.243953846148</v>
      </c>
      <c r="R82" s="29">
        <f t="shared" si="39"/>
        <v>82616.653969230771</v>
      </c>
      <c r="S82" s="29">
        <f t="shared" ref="S82" si="40">S70*S36</f>
        <v>84032.765498932902</v>
      </c>
      <c r="T82" s="29">
        <f t="shared" si="30"/>
        <v>10</v>
      </c>
      <c r="X82">
        <v>3385</v>
      </c>
    </row>
    <row r="83" spans="2:24">
      <c r="B83" s="121" t="s">
        <v>925</v>
      </c>
      <c r="C83" s="29">
        <f t="shared" ref="C83:R83" si="41">C71*C37</f>
        <v>64969.797400000003</v>
      </c>
      <c r="D83" s="29">
        <f t="shared" si="41"/>
        <v>64580.896937499994</v>
      </c>
      <c r="E83" s="29">
        <f t="shared" si="41"/>
        <v>67871.741020833331</v>
      </c>
      <c r="F83" s="29">
        <f t="shared" si="41"/>
        <v>71895.72520833333</v>
      </c>
      <c r="G83" s="29">
        <f t="shared" si="41"/>
        <v>75752.717812499992</v>
      </c>
      <c r="H83" s="29">
        <f t="shared" si="41"/>
        <v>77909.770312499997</v>
      </c>
      <c r="I83" s="29">
        <f t="shared" si="41"/>
        <v>79604.350399999996</v>
      </c>
      <c r="J83" s="29">
        <f t="shared" si="41"/>
        <v>83872.163199999995</v>
      </c>
      <c r="K83" s="29">
        <f t="shared" si="41"/>
        <v>87923.673599999995</v>
      </c>
      <c r="L83" s="29">
        <f t="shared" si="41"/>
        <v>94087.563899999994</v>
      </c>
      <c r="M83" s="29">
        <f t="shared" si="41"/>
        <v>99478.314700000003</v>
      </c>
      <c r="N83" s="29">
        <f>0.5*(M83+O83)</f>
        <v>99486.910311538464</v>
      </c>
      <c r="O83" s="29">
        <f t="shared" si="41"/>
        <v>99495.505923076926</v>
      </c>
      <c r="P83" s="29">
        <f t="shared" si="41"/>
        <v>97090.818476923072</v>
      </c>
      <c r="Q83" s="29">
        <f t="shared" si="41"/>
        <v>98051.443184615389</v>
      </c>
      <c r="R83" s="29">
        <f t="shared" si="41"/>
        <v>102115.86507692307</v>
      </c>
      <c r="S83" s="29">
        <f t="shared" ref="S83" si="42">S71*S37</f>
        <v>101134.36372962948</v>
      </c>
      <c r="T83" s="29">
        <f t="shared" si="30"/>
        <v>4</v>
      </c>
      <c r="X83">
        <v>153852</v>
      </c>
    </row>
    <row r="84" spans="2:24">
      <c r="B84" s="121" t="s">
        <v>926</v>
      </c>
      <c r="C84" s="29">
        <f t="shared" ref="C84:R84" si="43">C72*C38</f>
        <v>52133.270400000001</v>
      </c>
      <c r="D84" s="29">
        <f t="shared" si="43"/>
        <v>52984.610999999997</v>
      </c>
      <c r="E84" s="29">
        <f t="shared" si="43"/>
        <v>59658.461354166669</v>
      </c>
      <c r="F84" s="29">
        <f t="shared" si="43"/>
        <v>63600.242687500002</v>
      </c>
      <c r="G84" s="29">
        <f t="shared" si="43"/>
        <v>63504.368562500007</v>
      </c>
      <c r="H84" s="29">
        <f t="shared" si="43"/>
        <v>64873.063020833331</v>
      </c>
      <c r="I84" s="29">
        <f t="shared" si="43"/>
        <v>68279.048200000005</v>
      </c>
      <c r="J84" s="29">
        <f t="shared" si="43"/>
        <v>74983.261599999998</v>
      </c>
      <c r="K84" s="29">
        <f t="shared" si="43"/>
        <v>80249.792000000001</v>
      </c>
      <c r="L84" s="29">
        <f t="shared" si="43"/>
        <v>84624.604149999999</v>
      </c>
      <c r="M84" s="29">
        <f t="shared" si="43"/>
        <v>85650.482000000004</v>
      </c>
      <c r="N84" s="29">
        <f t="shared" si="43"/>
        <v>86400.42</v>
      </c>
      <c r="O84" s="29">
        <f t="shared" si="43"/>
        <v>88366.644</v>
      </c>
      <c r="P84" s="29">
        <f t="shared" si="43"/>
        <v>88709.860615384605</v>
      </c>
      <c r="Q84" s="29">
        <f t="shared" si="43"/>
        <v>85850.31126153846</v>
      </c>
      <c r="R84" s="29">
        <f t="shared" si="43"/>
        <v>92875.828800000003</v>
      </c>
      <c r="S84" s="29">
        <f t="shared" ref="S84" si="44">S72*S38</f>
        <v>90995.134532374097</v>
      </c>
      <c r="T84" s="29">
        <f t="shared" si="30"/>
        <v>6</v>
      </c>
      <c r="X84">
        <v>127576</v>
      </c>
    </row>
    <row r="85" spans="2:24">
      <c r="B85" s="121" t="s">
        <v>927</v>
      </c>
      <c r="C85" s="29">
        <f t="shared" ref="C85:R85" si="45">C73*C39</f>
        <v>56020.185399999995</v>
      </c>
      <c r="D85" s="29">
        <f t="shared" si="45"/>
        <v>58371.738750000004</v>
      </c>
      <c r="E85" s="29">
        <f t="shared" si="45"/>
        <v>62262.200104166666</v>
      </c>
      <c r="F85" s="29">
        <f t="shared" si="45"/>
        <v>64707.920749999997</v>
      </c>
      <c r="G85" s="29">
        <f t="shared" si="45"/>
        <v>68482.63</v>
      </c>
      <c r="H85" s="29">
        <f t="shared" si="45"/>
        <v>70982.40770833334</v>
      </c>
      <c r="I85" s="29">
        <f t="shared" si="45"/>
        <v>71863.591416666663</v>
      </c>
      <c r="J85" s="29">
        <f t="shared" si="45"/>
        <v>76000.546499999997</v>
      </c>
      <c r="K85" s="29">
        <f t="shared" si="45"/>
        <v>80686.625833333339</v>
      </c>
      <c r="L85" s="29">
        <f t="shared" si="45"/>
        <v>81393.779600000009</v>
      </c>
      <c r="M85" s="29">
        <f t="shared" si="45"/>
        <v>81567.899699999994</v>
      </c>
      <c r="N85" s="29">
        <f t="shared" si="45"/>
        <v>78329.941200000001</v>
      </c>
      <c r="O85" s="29">
        <f t="shared" si="45"/>
        <v>80908.348553846154</v>
      </c>
      <c r="P85" s="29">
        <f t="shared" si="45"/>
        <v>82807.276076923081</v>
      </c>
      <c r="Q85" s="29">
        <f t="shared" si="45"/>
        <v>85772.334953846163</v>
      </c>
      <c r="R85" s="29">
        <f t="shared" si="45"/>
        <v>90563.33332307692</v>
      </c>
      <c r="S85" s="29">
        <f t="shared" ref="S85" si="46">S73*S39</f>
        <v>84714.394579002794</v>
      </c>
      <c r="T85" s="29">
        <f t="shared" si="30"/>
        <v>9</v>
      </c>
      <c r="X85">
        <v>86890</v>
      </c>
    </row>
    <row r="86" spans="2:24">
      <c r="B86" s="161" t="s">
        <v>1083</v>
      </c>
      <c r="C86" s="162">
        <f>AVERAGE(C76:C85)</f>
        <v>53365.21618888888</v>
      </c>
      <c r="D86" s="162">
        <f t="shared" ref="D86:S86" si="47">AVERAGE(D76:D85)</f>
        <v>54663.839658333323</v>
      </c>
      <c r="E86" s="162">
        <f t="shared" si="47"/>
        <v>57807.511435416665</v>
      </c>
      <c r="F86" s="162">
        <f t="shared" si="47"/>
        <v>60998.198422916677</v>
      </c>
      <c r="G86" s="162">
        <f t="shared" si="47"/>
        <v>63785.419320833324</v>
      </c>
      <c r="H86" s="162">
        <f t="shared" si="47"/>
        <v>66698.552862500001</v>
      </c>
      <c r="I86" s="162">
        <f t="shared" si="47"/>
        <v>68534.156039999987</v>
      </c>
      <c r="J86" s="162">
        <f t="shared" si="47"/>
        <v>73749.833434999993</v>
      </c>
      <c r="K86" s="162">
        <f t="shared" si="47"/>
        <v>77433.830753333343</v>
      </c>
      <c r="L86" s="162">
        <f t="shared" si="47"/>
        <v>79584.057166666666</v>
      </c>
      <c r="M86" s="162">
        <f t="shared" si="47"/>
        <v>78921.534016666657</v>
      </c>
      <c r="N86" s="162">
        <f t="shared" si="47"/>
        <v>76255.673851153842</v>
      </c>
      <c r="O86" s="162">
        <f t="shared" si="47"/>
        <v>85129.801330769231</v>
      </c>
      <c r="P86" s="162">
        <f t="shared" si="47"/>
        <v>88110.461286153848</v>
      </c>
      <c r="Q86" s="162">
        <f t="shared" si="47"/>
        <v>90087.787529230758</v>
      </c>
      <c r="R86" s="162">
        <f t="shared" si="47"/>
        <v>97288.665667692301</v>
      </c>
      <c r="S86" s="162">
        <f t="shared" si="47"/>
        <v>95170.81790399403</v>
      </c>
      <c r="T86" s="29" t="s">
        <v>1085</v>
      </c>
      <c r="U86" s="162">
        <v>93482.206594559713</v>
      </c>
      <c r="V86" t="s">
        <v>1086</v>
      </c>
      <c r="X86" s="45">
        <f>AVERAGE(X76:X85)</f>
        <v>67967.199999999997</v>
      </c>
    </row>
    <row r="88" spans="2:24" ht="15">
      <c r="B88" s="115"/>
    </row>
    <row r="89" spans="2:24" ht="15">
      <c r="B89" s="115"/>
    </row>
    <row r="90" spans="2:24" ht="15">
      <c r="B90" s="115"/>
    </row>
    <row r="92" spans="2:24" ht="15">
      <c r="B92" s="115"/>
    </row>
    <row r="101" spans="1:19" ht="15">
      <c r="A101" s="115"/>
    </row>
    <row r="102" spans="1:19" ht="15">
      <c r="A102" s="115"/>
    </row>
    <row r="103" spans="1:19" ht="15">
      <c r="A103" s="115"/>
    </row>
    <row r="104" spans="1:19" ht="15">
      <c r="A104" s="115"/>
      <c r="C104" s="24" t="s">
        <v>1061</v>
      </c>
      <c r="K104" s="24" t="s">
        <v>1061</v>
      </c>
      <c r="S104" s="24" t="s">
        <v>1062</v>
      </c>
    </row>
    <row r="105" spans="1:19" ht="15">
      <c r="A105" s="115"/>
    </row>
    <row r="107" spans="1:19" ht="15">
      <c r="A107" s="115"/>
    </row>
  </sheetData>
  <sortState ref="A28:A36">
    <sortCondition ref="A28:A36"/>
  </sortState>
  <mergeCells count="1">
    <mergeCell ref="V62:X62"/>
  </mergeCells>
  <hyperlinks>
    <hyperlink ref="D43" r:id="rId1"/>
  </hyperlinks>
  <pageMargins left="0.7" right="0.7" top="0.75" bottom="0.75" header="0.3" footer="0.3"/>
  <pageSetup orientation="portrait" r:id="rId2"/>
  <drawing r:id="rId3"/>
  <legacyDrawing r:id="rId4"/>
</worksheet>
</file>

<file path=xl/worksheets/sheet11.xml><?xml version="1.0" encoding="utf-8"?>
<worksheet xmlns="http://schemas.openxmlformats.org/spreadsheetml/2006/main" xmlns:r="http://schemas.openxmlformats.org/officeDocument/2006/relationships">
  <dimension ref="A1:Q11"/>
  <sheetViews>
    <sheetView workbookViewId="0">
      <selection activeCell="J15" sqref="J15"/>
    </sheetView>
  </sheetViews>
  <sheetFormatPr defaultRowHeight="12.75"/>
  <cols>
    <col min="1" max="1" width="17.7109375" bestFit="1" customWidth="1"/>
    <col min="4" max="4" width="10.7109375" customWidth="1"/>
    <col min="6" max="6" width="11.140625" customWidth="1"/>
    <col min="7" max="16" width="10.7109375" customWidth="1"/>
  </cols>
  <sheetData>
    <row r="1" spans="1:17" ht="38.25">
      <c r="A1" s="23" t="s">
        <v>1145</v>
      </c>
      <c r="B1" s="176" t="s">
        <v>1119</v>
      </c>
      <c r="C1" s="176" t="s">
        <v>1120</v>
      </c>
      <c r="D1" s="176" t="s">
        <v>1121</v>
      </c>
      <c r="E1" s="176" t="s">
        <v>1122</v>
      </c>
      <c r="F1" s="176" t="s">
        <v>1123</v>
      </c>
      <c r="G1" s="176" t="s">
        <v>1128</v>
      </c>
      <c r="H1" s="176" t="s">
        <v>1133</v>
      </c>
      <c r="I1" s="176" t="s">
        <v>1134</v>
      </c>
      <c r="J1" s="176" t="s">
        <v>1137</v>
      </c>
      <c r="K1" s="176" t="s">
        <v>1135</v>
      </c>
      <c r="L1" s="176" t="s">
        <v>1136</v>
      </c>
      <c r="M1" s="176" t="s">
        <v>1138</v>
      </c>
      <c r="N1" s="176" t="s">
        <v>1139</v>
      </c>
      <c r="O1" s="176" t="s">
        <v>1140</v>
      </c>
      <c r="P1" s="176" t="s">
        <v>1142</v>
      </c>
      <c r="Q1" s="176" t="s">
        <v>1126</v>
      </c>
    </row>
    <row r="2" spans="1:17">
      <c r="A2" s="24" t="s">
        <v>1118</v>
      </c>
      <c r="B2" s="178">
        <v>96631</v>
      </c>
      <c r="C2" s="178">
        <v>20</v>
      </c>
      <c r="D2" s="45">
        <f>B2/C2</f>
        <v>4831.55</v>
      </c>
      <c r="E2">
        <v>7</v>
      </c>
      <c r="F2" s="45">
        <f>D2/E2</f>
        <v>690.22142857142865</v>
      </c>
      <c r="G2" s="178">
        <v>622</v>
      </c>
      <c r="H2" s="179">
        <v>6493</v>
      </c>
      <c r="I2" s="179">
        <v>5.4</v>
      </c>
      <c r="J2" s="45">
        <f>H2/I2</f>
        <v>1202.4074074074074</v>
      </c>
      <c r="K2" s="179">
        <v>1535</v>
      </c>
      <c r="L2" s="179">
        <v>9</v>
      </c>
      <c r="M2" s="45">
        <f>K2/L2</f>
        <v>170.55555555555554</v>
      </c>
      <c r="N2" s="45">
        <f>D2-J2-M2</f>
        <v>3458.5870370370371</v>
      </c>
      <c r="O2" s="45">
        <f>(B2-H2-K2)/N2</f>
        <v>25.618265219633152</v>
      </c>
      <c r="P2" s="45">
        <f>H2/7</f>
        <v>927.57142857142856</v>
      </c>
      <c r="Q2" s="44" t="s">
        <v>1117</v>
      </c>
    </row>
    <row r="3" spans="1:17">
      <c r="A3" s="24" t="s">
        <v>1124</v>
      </c>
      <c r="B3" s="178">
        <v>28766</v>
      </c>
      <c r="C3" s="45">
        <f>B3/D3</f>
        <v>18.740065146579806</v>
      </c>
      <c r="D3" s="178">
        <v>1535</v>
      </c>
      <c r="E3">
        <v>2</v>
      </c>
      <c r="F3" s="45">
        <f>D3/E3</f>
        <v>767.5</v>
      </c>
      <c r="G3" s="178">
        <v>85</v>
      </c>
      <c r="H3" s="178">
        <v>3152</v>
      </c>
      <c r="I3" s="45">
        <f>H3/J3</f>
        <v>8.954545454545455</v>
      </c>
      <c r="J3" s="178">
        <v>352</v>
      </c>
      <c r="N3" s="45">
        <f>D3-J3-M3</f>
        <v>1183</v>
      </c>
      <c r="O3" s="45">
        <f>(B3-H3-K3)/N3</f>
        <v>21.651732882502113</v>
      </c>
      <c r="P3" s="45">
        <f>H3/2</f>
        <v>1576</v>
      </c>
      <c r="Q3" s="44" t="s">
        <v>1127</v>
      </c>
    </row>
    <row r="4" spans="1:17">
      <c r="A4" s="24" t="s">
        <v>1125</v>
      </c>
      <c r="B4" s="178">
        <v>56355</v>
      </c>
      <c r="C4" s="45">
        <f>B4/D4</f>
        <v>18.691542288557216</v>
      </c>
      <c r="D4" s="178">
        <v>3015</v>
      </c>
      <c r="E4">
        <v>4</v>
      </c>
      <c r="F4" s="45">
        <f>D4/E4</f>
        <v>753.75</v>
      </c>
      <c r="G4" s="178">
        <v>218</v>
      </c>
      <c r="H4" s="178">
        <v>4947</v>
      </c>
      <c r="I4" s="177">
        <f>I2</f>
        <v>5.4</v>
      </c>
      <c r="J4" s="45">
        <f>H4/I4</f>
        <v>916.11111111111109</v>
      </c>
      <c r="N4" s="45">
        <f>D4-J4-M4</f>
        <v>2098.8888888888887</v>
      </c>
      <c r="O4" s="45">
        <f>(B4-H4-K4)/N4</f>
        <v>24.492959237691903</v>
      </c>
      <c r="P4" s="45">
        <f>H4/4</f>
        <v>1236.75</v>
      </c>
      <c r="Q4" s="44" t="s">
        <v>1129</v>
      </c>
    </row>
    <row r="5" spans="1:17">
      <c r="A5" s="180" t="s">
        <v>1130</v>
      </c>
      <c r="B5" s="80"/>
      <c r="C5" s="80"/>
      <c r="D5" s="181">
        <f>SUM(D2:D4)</f>
        <v>9381.5499999999993</v>
      </c>
      <c r="E5" s="80"/>
      <c r="F5" s="80"/>
      <c r="G5" s="80">
        <f>SUM(G2:G4)</f>
        <v>925</v>
      </c>
      <c r="H5" s="181">
        <f>SUM(H2:H4)</f>
        <v>14592</v>
      </c>
      <c r="I5" s="80"/>
      <c r="J5" s="181">
        <f>SUM(J2:J4)</f>
        <v>2470.5185185185182</v>
      </c>
      <c r="K5" s="80"/>
      <c r="L5" s="80"/>
      <c r="M5" s="181">
        <f>SUM(M2:M4)</f>
        <v>170.55555555555554</v>
      </c>
      <c r="N5" s="80"/>
      <c r="O5" s="80"/>
      <c r="P5" s="80"/>
    </row>
    <row r="6" spans="1:17">
      <c r="A6" s="24" t="s">
        <v>1131</v>
      </c>
      <c r="D6" s="45">
        <f>SUM(Positions!C55:C60)</f>
        <v>12636.8</v>
      </c>
    </row>
    <row r="7" spans="1:17">
      <c r="A7" s="24" t="s">
        <v>1132</v>
      </c>
      <c r="C7" s="45"/>
      <c r="D7" s="45">
        <f>SUM(Positions!C55:C59)</f>
        <v>9543.5</v>
      </c>
      <c r="F7" s="45"/>
    </row>
    <row r="8" spans="1:17">
      <c r="G8" s="24" t="s">
        <v>1144</v>
      </c>
    </row>
    <row r="9" spans="1:17">
      <c r="G9" s="145" t="s">
        <v>1141</v>
      </c>
    </row>
    <row r="10" spans="1:17">
      <c r="G10" s="178" t="s">
        <v>1143</v>
      </c>
    </row>
    <row r="11" spans="1:17">
      <c r="G11" s="24" t="s">
        <v>1146</v>
      </c>
    </row>
  </sheetData>
  <hyperlinks>
    <hyperlink ref="Q2" r:id="rId1"/>
    <hyperlink ref="Q3" r:id="rId2"/>
    <hyperlink ref="Q4"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sheetPr codeName="Sheet3"/>
  <dimension ref="A1:T104"/>
  <sheetViews>
    <sheetView tabSelected="1" workbookViewId="0"/>
  </sheetViews>
  <sheetFormatPr defaultRowHeight="12.75"/>
  <cols>
    <col min="5" max="5" width="10.28515625" bestFit="1" customWidth="1"/>
    <col min="6" max="6" width="9.28515625" bestFit="1" customWidth="1"/>
    <col min="14" max="14" width="10.5703125" bestFit="1" customWidth="1"/>
    <col min="15" max="15" width="10" bestFit="1" customWidth="1"/>
  </cols>
  <sheetData>
    <row r="1" spans="1:1">
      <c r="A1" t="s">
        <v>1114</v>
      </c>
    </row>
    <row r="22" spans="3:11">
      <c r="C22" s="24" t="s">
        <v>1103</v>
      </c>
      <c r="K22" s="24" t="s">
        <v>1036</v>
      </c>
    </row>
    <row r="23" spans="3:11">
      <c r="C23" t="s">
        <v>1082</v>
      </c>
    </row>
    <row r="44" spans="3:19">
      <c r="S44" t="s">
        <v>1116</v>
      </c>
    </row>
    <row r="45" spans="3:19">
      <c r="C45" s="24" t="s">
        <v>1060</v>
      </c>
      <c r="L45" s="24" t="s">
        <v>1059</v>
      </c>
      <c r="S45" t="s">
        <v>1099</v>
      </c>
    </row>
    <row r="46" spans="3:19">
      <c r="K46" t="s">
        <v>1100</v>
      </c>
    </row>
    <row r="47" spans="3:19">
      <c r="K47" t="s">
        <v>1101</v>
      </c>
    </row>
    <row r="48" spans="3:19">
      <c r="K48" t="s">
        <v>1105</v>
      </c>
    </row>
    <row r="49" spans="11:11">
      <c r="K49" t="s">
        <v>1106</v>
      </c>
    </row>
    <row r="71" spans="4:11">
      <c r="D71" s="24" t="s">
        <v>1063</v>
      </c>
      <c r="K71" s="24" t="s">
        <v>1076</v>
      </c>
    </row>
    <row r="72" spans="4:11">
      <c r="D72" t="s">
        <v>1087</v>
      </c>
      <c r="K72" t="s">
        <v>1088</v>
      </c>
    </row>
    <row r="94" spans="2:16">
      <c r="B94" s="24" t="s">
        <v>1068</v>
      </c>
      <c r="F94" s="155">
        <f>'Derived data'!B48</f>
        <v>1.0445416525846074E-2</v>
      </c>
      <c r="G94" s="24" t="s">
        <v>1072</v>
      </c>
      <c r="L94" s="24" t="s">
        <v>1071</v>
      </c>
      <c r="O94" s="155">
        <f>'Derived data'!B46</f>
        <v>4.4667962270373396E-2</v>
      </c>
      <c r="P94" s="24" t="s">
        <v>1069</v>
      </c>
    </row>
    <row r="95" spans="2:16">
      <c r="B95" s="24" t="s">
        <v>1070</v>
      </c>
      <c r="F95" s="155">
        <f>'Derived data'!B49</f>
        <v>5.2146095937091186E-3</v>
      </c>
      <c r="G95" s="24" t="s">
        <v>1072</v>
      </c>
      <c r="L95" s="24" t="s">
        <v>1071</v>
      </c>
      <c r="O95" s="155">
        <f>'Derived data'!B47</f>
        <v>2.1915784167495511E-2</v>
      </c>
      <c r="P95" s="24" t="s">
        <v>1072</v>
      </c>
    </row>
    <row r="96" spans="2:16">
      <c r="B96" s="24" t="s">
        <v>1090</v>
      </c>
      <c r="F96" s="155"/>
      <c r="G96" s="24"/>
      <c r="L96" s="24" t="s">
        <v>1073</v>
      </c>
      <c r="O96" s="155">
        <f>'Derived data'!B44</f>
        <v>1.1351793430947721E-2</v>
      </c>
      <c r="P96" s="24" t="s">
        <v>1069</v>
      </c>
    </row>
    <row r="97" spans="2:20">
      <c r="B97" s="80" t="s">
        <v>1089</v>
      </c>
      <c r="C97" s="80"/>
      <c r="D97" s="80"/>
      <c r="E97" s="80"/>
      <c r="F97" s="80"/>
      <c r="G97" s="165">
        <v>2017</v>
      </c>
      <c r="H97" s="165"/>
      <c r="I97" s="165"/>
      <c r="J97" s="165"/>
      <c r="L97" s="24" t="s">
        <v>1073</v>
      </c>
      <c r="O97" s="155">
        <f>'Derived data'!B45</f>
        <v>1.6614536253642953E-2</v>
      </c>
      <c r="P97" s="24" t="s">
        <v>1075</v>
      </c>
    </row>
    <row r="98" spans="2:20">
      <c r="C98" s="24" t="s">
        <v>1006</v>
      </c>
      <c r="D98" s="24" t="s">
        <v>1007</v>
      </c>
      <c r="E98" s="24" t="s">
        <v>1012</v>
      </c>
      <c r="F98" s="24" t="s">
        <v>1008</v>
      </c>
      <c r="G98" s="24" t="s">
        <v>1013</v>
      </c>
      <c r="H98" s="24" t="s">
        <v>980</v>
      </c>
      <c r="I98" s="24" t="s">
        <v>1015</v>
      </c>
      <c r="J98" s="24" t="s">
        <v>1019</v>
      </c>
      <c r="L98" s="24" t="s">
        <v>1090</v>
      </c>
    </row>
    <row r="99" spans="2:20">
      <c r="B99" s="24" t="s">
        <v>1009</v>
      </c>
      <c r="C99">
        <f>'Derived data'!T6</f>
        <v>2000</v>
      </c>
      <c r="D99" s="45">
        <f>'Derived data'!K6</f>
        <v>2009</v>
      </c>
      <c r="E99" s="144">
        <f>'Derived data'!K48-'Derived data'!T48</f>
        <v>2958.2826399412861</v>
      </c>
      <c r="F99" s="144">
        <f>E99/(D99-C99)</f>
        <v>328.69807110458737</v>
      </c>
      <c r="G99" s="144">
        <f>'Derived data'!K48+F99*(D100-D99)</f>
        <v>17318.349468659108</v>
      </c>
      <c r="H99" s="144">
        <f>'Derived data'!C48</f>
        <v>13996.983706799567</v>
      </c>
      <c r="I99" s="144">
        <f>G99-H99</f>
        <v>3321.3657618595407</v>
      </c>
      <c r="J99" s="48">
        <f>F99/H99</f>
        <v>2.3483493157522916E-2</v>
      </c>
      <c r="L99" s="80" t="s">
        <v>1089</v>
      </c>
      <c r="M99" s="80"/>
      <c r="N99" s="80"/>
      <c r="O99" s="80"/>
      <c r="P99" s="80"/>
      <c r="Q99" s="80"/>
      <c r="R99" s="80"/>
      <c r="S99" s="80"/>
      <c r="T99" s="80"/>
    </row>
    <row r="100" spans="2:20">
      <c r="C100" s="45">
        <f>'Derived data'!I6</f>
        <v>2011</v>
      </c>
      <c r="D100" s="45">
        <f>'Derived data'!C6</f>
        <v>2017</v>
      </c>
      <c r="E100" s="144">
        <f>'Derived data'!C48-'Derived data'!I48</f>
        <v>755.68363638806841</v>
      </c>
      <c r="F100" s="144">
        <f>E100/(D100-C100)</f>
        <v>125.94727273134474</v>
      </c>
      <c r="G100" s="144"/>
      <c r="H100" s="144"/>
      <c r="I100" s="144"/>
      <c r="J100" s="48">
        <f>F100/H99</f>
        <v>8.9981724184019073E-3</v>
      </c>
      <c r="M100" s="24" t="s">
        <v>1006</v>
      </c>
      <c r="N100" s="24" t="s">
        <v>1007</v>
      </c>
      <c r="O100" s="24" t="s">
        <v>1005</v>
      </c>
      <c r="P100" s="24" t="s">
        <v>1004</v>
      </c>
      <c r="Q100" s="24" t="s">
        <v>1014</v>
      </c>
      <c r="S100" s="24" t="s">
        <v>1016</v>
      </c>
      <c r="T100" s="24" t="s">
        <v>1015</v>
      </c>
    </row>
    <row r="101" spans="2:20">
      <c r="B101" s="24" t="s">
        <v>1010</v>
      </c>
      <c r="C101">
        <f>'Derived data'!T6</f>
        <v>2000</v>
      </c>
      <c r="D101" s="45">
        <f>'Derived data'!K6</f>
        <v>2009</v>
      </c>
      <c r="E101" s="144">
        <f>'Derived data'!K49-'Derived data'!T49</f>
        <v>1873.5993445863151</v>
      </c>
      <c r="F101" s="144">
        <f>E101/(D101-C101)</f>
        <v>208.17770495403499</v>
      </c>
      <c r="G101" s="144">
        <f>'Derived data'!K49+F101*(D102-D101)</f>
        <v>13081.248799874116</v>
      </c>
      <c r="H101" s="144">
        <f>'Derived data'!C49</f>
        <v>10424.356217134906</v>
      </c>
      <c r="I101" s="144">
        <f>G101-H101</f>
        <v>2656.8925827392104</v>
      </c>
      <c r="J101" s="48">
        <f>F101/H101</f>
        <v>1.9970317650105384E-2</v>
      </c>
      <c r="K101" s="24"/>
      <c r="L101" s="24" t="s">
        <v>1011</v>
      </c>
      <c r="M101">
        <f>'Budget summary'!S6</f>
        <v>2000</v>
      </c>
      <c r="N101">
        <f>'Budget summary'!J6</f>
        <v>2009</v>
      </c>
      <c r="O101">
        <f>('Budget summary'!J21-'Budget summary'!S21)/1000000</f>
        <v>904.97825699999999</v>
      </c>
      <c r="P101">
        <f>O101/(N101-M101)</f>
        <v>100.55313966666667</v>
      </c>
      <c r="Q101">
        <f>'Derived data'!K46+Graphs!P101*(Graphs!N102-Graphs!N101)</f>
        <v>2981.083474333333</v>
      </c>
      <c r="S101">
        <f>'Derived data'!C46</f>
        <v>2673.0591420000001</v>
      </c>
      <c r="T101">
        <f>Q101-S101</f>
        <v>308.02433233333295</v>
      </c>
    </row>
    <row r="102" spans="2:20">
      <c r="C102" s="45">
        <f>'Derived data'!I6</f>
        <v>2011</v>
      </c>
      <c r="D102" s="45">
        <f>'Derived data'!C6</f>
        <v>2017</v>
      </c>
      <c r="E102" s="144">
        <f>'Derived data'!C49-'Derived data'!I49</f>
        <v>255.86486104138567</v>
      </c>
      <c r="F102" s="144">
        <f>E102/(D102-C102)</f>
        <v>42.644143506897613</v>
      </c>
      <c r="G102" s="144"/>
      <c r="H102" s="144"/>
      <c r="I102" s="144"/>
      <c r="J102" s="48">
        <f>F102/H101</f>
        <v>4.0908179477598654E-3</v>
      </c>
      <c r="M102">
        <f>'Budget summary'!H6</f>
        <v>2011</v>
      </c>
      <c r="N102">
        <f>'Budget summary'!B6</f>
        <v>2017</v>
      </c>
      <c r="O102">
        <f>('Budget summary'!B21-'Budget summary'!H21)/1000000</f>
        <v>550.287959</v>
      </c>
      <c r="P102">
        <f>O102/(N102-M102)</f>
        <v>91.714659833333329</v>
      </c>
    </row>
    <row r="103" spans="2:20">
      <c r="L103" s="24" t="s">
        <v>1012</v>
      </c>
      <c r="M103">
        <f>'Derived data'!T43</f>
        <v>2000</v>
      </c>
      <c r="N103">
        <f>'Derived data'!K43</f>
        <v>2009</v>
      </c>
      <c r="O103">
        <f>'Derived data'!K47-'Derived data'!T47</f>
        <v>677.67451334248085</v>
      </c>
      <c r="P103">
        <f>O103/(N103-M103)</f>
        <v>75.297168149164534</v>
      </c>
      <c r="Q103">
        <f>'Derived data'!K47+Graphs!P103*(Graphs!N104-Graphs!N103)</f>
        <v>3092.6811687794075</v>
      </c>
      <c r="S103">
        <f>'Derived data'!C47</f>
        <v>2620.3893167336537</v>
      </c>
      <c r="T103">
        <f>Q103-S103</f>
        <v>472.29185204575379</v>
      </c>
    </row>
    <row r="104" spans="2:20">
      <c r="M104">
        <f>'Derived data'!I43</f>
        <v>2011</v>
      </c>
      <c r="N104">
        <f>'Derived data'!C43</f>
        <v>2017</v>
      </c>
      <c r="O104">
        <f>'Derived data'!C47-'Derived data'!I47</f>
        <v>304.04897151635896</v>
      </c>
      <c r="P104">
        <f>O104/(N104-M104)</f>
        <v>50.674828586059824</v>
      </c>
    </row>
  </sheetData>
  <mergeCells count="1">
    <mergeCell ref="G97:J9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5"/>
  <dimension ref="A1:U21"/>
  <sheetViews>
    <sheetView workbookViewId="0">
      <selection activeCell="A2" sqref="A2"/>
    </sheetView>
  </sheetViews>
  <sheetFormatPr defaultRowHeight="12.75"/>
  <cols>
    <col min="6" max="6" width="13.85546875" bestFit="1" customWidth="1"/>
    <col min="8" max="8" width="17.140625" customWidth="1"/>
    <col min="9" max="9" width="8.28515625" customWidth="1"/>
    <col min="10" max="10" width="13.85546875" bestFit="1" customWidth="1"/>
    <col min="12" max="12" width="13.85546875" bestFit="1" customWidth="1"/>
    <col min="13" max="13" width="14.28515625" customWidth="1"/>
    <col min="15" max="16" width="13.85546875" bestFit="1" customWidth="1"/>
    <col min="17" max="17" width="12.140625" bestFit="1" customWidth="1"/>
  </cols>
  <sheetData>
    <row r="1" spans="1:20">
      <c r="A1" t="s">
        <v>1114</v>
      </c>
    </row>
    <row r="2" spans="1:20">
      <c r="B2" s="166" t="s">
        <v>1041</v>
      </c>
      <c r="C2" s="167"/>
      <c r="D2" s="166" t="s">
        <v>1112</v>
      </c>
      <c r="E2" s="167"/>
      <c r="F2" t="s">
        <v>944</v>
      </c>
      <c r="H2" t="s">
        <v>945</v>
      </c>
      <c r="M2" s="24" t="s">
        <v>1044</v>
      </c>
    </row>
    <row r="3" spans="1:20">
      <c r="B3" s="24" t="s">
        <v>1039</v>
      </c>
      <c r="C3" s="24" t="s">
        <v>1040</v>
      </c>
      <c r="D3" s="24" t="s">
        <v>1039</v>
      </c>
      <c r="E3" s="24" t="s">
        <v>1040</v>
      </c>
      <c r="F3" s="24" t="s">
        <v>1042</v>
      </c>
      <c r="G3" t="s">
        <v>853</v>
      </c>
      <c r="H3" s="24" t="s">
        <v>1042</v>
      </c>
      <c r="I3" s="24" t="s">
        <v>1043</v>
      </c>
      <c r="J3" t="s">
        <v>944</v>
      </c>
      <c r="K3" t="s">
        <v>853</v>
      </c>
      <c r="L3" t="s">
        <v>945</v>
      </c>
      <c r="M3" s="24" t="s">
        <v>1111</v>
      </c>
      <c r="N3" t="s">
        <v>946</v>
      </c>
      <c r="O3" t="s">
        <v>947</v>
      </c>
      <c r="P3" t="s">
        <v>949</v>
      </c>
      <c r="Q3" t="s">
        <v>948</v>
      </c>
      <c r="R3" s="24" t="s">
        <v>1045</v>
      </c>
      <c r="S3" s="24" t="s">
        <v>1046</v>
      </c>
    </row>
    <row r="4" spans="1:20">
      <c r="A4">
        <v>2000</v>
      </c>
      <c r="B4" s="43">
        <v>184302</v>
      </c>
      <c r="C4" s="38">
        <f>B4/$B$5-1</f>
        <v>-2.7588225638385477E-2</v>
      </c>
      <c r="D4" s="123">
        <v>154523</v>
      </c>
      <c r="E4" s="38">
        <f>D4/$D$5-1</f>
        <v>-2.4050880749821535E-2</v>
      </c>
      <c r="F4" s="40">
        <f>J4/1000</f>
        <v>1271680.1000000001</v>
      </c>
      <c r="G4" s="72">
        <v>172.2</v>
      </c>
      <c r="H4" s="40">
        <f>L4/1000</f>
        <v>1812629.3102436101</v>
      </c>
      <c r="I4" s="38">
        <f>H4/$H$5-1</f>
        <v>-4.9729229313498768E-2</v>
      </c>
      <c r="J4" s="40">
        <v>1271680100</v>
      </c>
      <c r="K4">
        <v>172.2</v>
      </c>
      <c r="L4" s="40">
        <f>J4/K4*$K$19</f>
        <v>1812629310.2436101</v>
      </c>
      <c r="M4" s="124">
        <f>L4/B4</f>
        <v>9835.1038526093598</v>
      </c>
      <c r="N4">
        <v>0.43783228187655054</v>
      </c>
      <c r="O4" s="40">
        <v>786906900</v>
      </c>
      <c r="P4" s="40">
        <f>N4*J4</f>
        <v>556782600</v>
      </c>
      <c r="Q4" s="40">
        <f>O4-P4</f>
        <v>230124300</v>
      </c>
      <c r="R4">
        <f>P4/$P$5</f>
        <v>0.9176870925452405</v>
      </c>
      <c r="S4">
        <f>Q4/$Q$5</f>
        <v>0.88398745723139471</v>
      </c>
      <c r="T4" s="24" t="s">
        <v>1047</v>
      </c>
    </row>
    <row r="5" spans="1:20">
      <c r="A5" s="45">
        <v>2001</v>
      </c>
      <c r="B5" s="123">
        <f>'Derived data'!S$16</f>
        <v>189530.81899999999</v>
      </c>
      <c r="C5" s="38">
        <f>B5/$B$5-1</f>
        <v>0</v>
      </c>
      <c r="D5" s="123">
        <v>158331</v>
      </c>
      <c r="E5" s="38">
        <f t="shared" ref="E5:E21" si="0">D5/$D$5-1</f>
        <v>0</v>
      </c>
      <c r="F5" s="40">
        <f t="shared" ref="F5:F21" si="1">J5/1000</f>
        <v>1376308.9</v>
      </c>
      <c r="G5" s="72">
        <v>177.1</v>
      </c>
      <c r="H5" s="40">
        <f t="shared" ref="H5:H21" si="2">L5/1000</f>
        <v>1907487.1775063835</v>
      </c>
      <c r="I5" s="38">
        <f t="shared" ref="I5:I21" si="3">H5/$H$5-1</f>
        <v>0</v>
      </c>
      <c r="J5" s="40">
        <v>1376308900</v>
      </c>
      <c r="K5">
        <v>177.1</v>
      </c>
      <c r="L5" s="40">
        <f t="shared" ref="L5:L21" si="4">J5/K5*$K$19</f>
        <v>1907487177.5063834</v>
      </c>
      <c r="M5" s="124">
        <f t="shared" ref="M5:M21" si="5">L5/B5</f>
        <v>10064.258612771486</v>
      </c>
      <c r="N5">
        <v>0.44083403079061684</v>
      </c>
      <c r="O5" s="40">
        <v>867049100</v>
      </c>
      <c r="P5" s="40">
        <f t="shared" ref="P5:P16" si="6">N5*J5</f>
        <v>606723800</v>
      </c>
      <c r="Q5" s="40">
        <f t="shared" ref="Q5:Q21" si="7">O5-P5</f>
        <v>260325300</v>
      </c>
      <c r="R5">
        <f t="shared" ref="R5:R21" si="8">P5/$P$5</f>
        <v>1</v>
      </c>
      <c r="S5">
        <f t="shared" ref="S5:S21" si="9">Q5/$Q$5</f>
        <v>1</v>
      </c>
    </row>
    <row r="6" spans="1:20">
      <c r="A6" s="45">
        <v>2002</v>
      </c>
      <c r="B6" s="123">
        <f>'Derived data'!R$16</f>
        <v>194581.57500000001</v>
      </c>
      <c r="C6" s="38">
        <f t="shared" ref="C6:C21" si="10">B6/$B$5-1</f>
        <v>2.6648731993291319E-2</v>
      </c>
      <c r="D6" s="123">
        <v>161385</v>
      </c>
      <c r="E6" s="38">
        <f t="shared" si="0"/>
        <v>1.9288705307236143E-2</v>
      </c>
      <c r="F6" s="40">
        <f t="shared" si="1"/>
        <v>1444485.9</v>
      </c>
      <c r="G6" s="72">
        <v>179.9</v>
      </c>
      <c r="H6" s="40">
        <f t="shared" si="2"/>
        <v>1970817.5170805652</v>
      </c>
      <c r="I6" s="38">
        <f t="shared" si="3"/>
        <v>3.3200925448406915E-2</v>
      </c>
      <c r="J6" s="40">
        <v>1444485900</v>
      </c>
      <c r="K6">
        <v>179.9</v>
      </c>
      <c r="L6" s="40">
        <f t="shared" si="4"/>
        <v>1970817517.0805652</v>
      </c>
      <c r="M6" s="124">
        <f t="shared" si="5"/>
        <v>10128.489899830265</v>
      </c>
      <c r="N6">
        <v>0.44944502400473413</v>
      </c>
      <c r="O6" s="40">
        <v>931886200</v>
      </c>
      <c r="P6" s="40">
        <f t="shared" si="6"/>
        <v>649217000</v>
      </c>
      <c r="Q6" s="40">
        <f t="shared" si="7"/>
        <v>282669200</v>
      </c>
      <c r="R6">
        <f t="shared" si="8"/>
        <v>1.0700371404583107</v>
      </c>
      <c r="S6">
        <f t="shared" si="9"/>
        <v>1.0858306895257588</v>
      </c>
    </row>
    <row r="7" spans="1:20">
      <c r="A7" s="45">
        <v>2003</v>
      </c>
      <c r="B7" s="123">
        <f>'Derived data'!Q$16</f>
        <v>199502.66699999999</v>
      </c>
      <c r="C7" s="38">
        <f t="shared" si="10"/>
        <v>5.2613332505042409E-2</v>
      </c>
      <c r="D7" s="123">
        <v>163386</v>
      </c>
      <c r="E7" s="38">
        <f t="shared" si="0"/>
        <v>3.192678628948209E-2</v>
      </c>
      <c r="F7" s="40">
        <f t="shared" si="1"/>
        <v>1575963.3</v>
      </c>
      <c r="G7" s="72">
        <v>184</v>
      </c>
      <c r="H7" s="40">
        <f t="shared" si="2"/>
        <v>2102289.6240511462</v>
      </c>
      <c r="I7" s="38">
        <f t="shared" si="3"/>
        <v>0.10212516699557783</v>
      </c>
      <c r="J7" s="40">
        <v>1575963300</v>
      </c>
      <c r="K7">
        <v>184</v>
      </c>
      <c r="L7" s="40">
        <f t="shared" si="4"/>
        <v>2102289624.0511463</v>
      </c>
      <c r="M7" s="124">
        <f t="shared" si="5"/>
        <v>10537.651729994899</v>
      </c>
      <c r="N7">
        <v>0.43403618599494037</v>
      </c>
      <c r="O7" s="40">
        <v>979145500</v>
      </c>
      <c r="P7" s="40">
        <f t="shared" si="6"/>
        <v>684025100</v>
      </c>
      <c r="Q7" s="40">
        <f t="shared" si="7"/>
        <v>295120400</v>
      </c>
      <c r="R7">
        <f t="shared" si="8"/>
        <v>1.1274077265470714</v>
      </c>
      <c r="S7">
        <f t="shared" si="9"/>
        <v>1.1336600783711763</v>
      </c>
    </row>
    <row r="8" spans="1:20">
      <c r="A8" s="45">
        <v>2004</v>
      </c>
      <c r="B8" s="123">
        <f>'Derived data'!P$16</f>
        <v>201443.29499999998</v>
      </c>
      <c r="C8" s="38">
        <f t="shared" si="10"/>
        <v>6.2852448287051388E-2</v>
      </c>
      <c r="D8" s="123">
        <v>164195</v>
      </c>
      <c r="E8" s="38">
        <f t="shared" si="0"/>
        <v>3.7036335272309318E-2</v>
      </c>
      <c r="F8" s="40">
        <f t="shared" si="1"/>
        <v>1630701.399</v>
      </c>
      <c r="G8" s="72">
        <v>188.9</v>
      </c>
      <c r="H8" s="40">
        <f t="shared" si="2"/>
        <v>2118881.9237220772</v>
      </c>
      <c r="I8" s="38">
        <f t="shared" si="3"/>
        <v>0.11082367876886345</v>
      </c>
      <c r="J8" s="40">
        <v>1630701399</v>
      </c>
      <c r="K8">
        <v>188.9</v>
      </c>
      <c r="L8" s="40">
        <f t="shared" si="4"/>
        <v>2118881923.7220771</v>
      </c>
      <c r="M8" s="124">
        <f t="shared" si="5"/>
        <v>10518.5031039235</v>
      </c>
      <c r="N8">
        <v>0.43343423537468861</v>
      </c>
      <c r="O8" s="40">
        <v>1021892728</v>
      </c>
      <c r="P8" s="40">
        <f t="shared" si="6"/>
        <v>706801814</v>
      </c>
      <c r="Q8" s="40">
        <f t="shared" si="7"/>
        <v>315090914</v>
      </c>
      <c r="R8">
        <f t="shared" si="8"/>
        <v>1.1649482252056043</v>
      </c>
      <c r="S8">
        <f t="shared" si="9"/>
        <v>1.2103737669753958</v>
      </c>
    </row>
    <row r="9" spans="1:20">
      <c r="A9" s="45">
        <v>2005</v>
      </c>
      <c r="B9" s="123">
        <f>'Derived data'!O$16</f>
        <v>202441.70799999998</v>
      </c>
      <c r="C9" s="38">
        <f t="shared" si="10"/>
        <v>6.8120261750148403E-2</v>
      </c>
      <c r="D9" s="123">
        <v>164408</v>
      </c>
      <c r="E9" s="38">
        <f t="shared" si="0"/>
        <v>3.8381618255426853E-2</v>
      </c>
      <c r="F9" s="40">
        <f t="shared" si="1"/>
        <v>1767440.4480000001</v>
      </c>
      <c r="G9" s="72">
        <v>195.3</v>
      </c>
      <c r="H9" s="40">
        <f t="shared" si="2"/>
        <v>2221297.9534534169</v>
      </c>
      <c r="I9" s="38">
        <f t="shared" si="3"/>
        <v>0.16451527415102807</v>
      </c>
      <c r="J9" s="40">
        <v>1767440448</v>
      </c>
      <c r="K9">
        <v>195.3</v>
      </c>
      <c r="L9" s="40">
        <f t="shared" si="4"/>
        <v>2221297953.4534168</v>
      </c>
      <c r="M9" s="124">
        <f t="shared" si="5"/>
        <v>10972.531181437262</v>
      </c>
      <c r="N9">
        <v>0.41791658091554551</v>
      </c>
      <c r="O9" s="40">
        <v>1072190539</v>
      </c>
      <c r="P9" s="40">
        <f t="shared" si="6"/>
        <v>738642669</v>
      </c>
      <c r="Q9" s="40">
        <f t="shared" si="7"/>
        <v>333547870</v>
      </c>
      <c r="R9">
        <f t="shared" si="8"/>
        <v>1.2174282086840833</v>
      </c>
      <c r="S9">
        <f t="shared" si="9"/>
        <v>1.2812733529933511</v>
      </c>
    </row>
    <row r="10" spans="1:20">
      <c r="A10" s="45">
        <v>2006</v>
      </c>
      <c r="B10" s="123">
        <f>'Derived data'!N$16</f>
        <v>203109.57600000003</v>
      </c>
      <c r="C10" s="38">
        <f t="shared" si="10"/>
        <v>7.1644058056859139E-2</v>
      </c>
      <c r="D10" s="123">
        <v>164284</v>
      </c>
      <c r="E10" s="38">
        <f t="shared" si="0"/>
        <v>3.7598448819245789E-2</v>
      </c>
      <c r="F10" s="40">
        <f t="shared" si="1"/>
        <v>1910433.818</v>
      </c>
      <c r="G10" s="72">
        <v>201.6</v>
      </c>
      <c r="H10" s="40">
        <f t="shared" si="2"/>
        <v>2325978.7335222196</v>
      </c>
      <c r="I10" s="38">
        <f t="shared" si="3"/>
        <v>0.21939416471617967</v>
      </c>
      <c r="J10" s="40">
        <v>1910433818</v>
      </c>
      <c r="K10">
        <v>201.6</v>
      </c>
      <c r="L10" s="40">
        <f t="shared" si="4"/>
        <v>2325978733.5222197</v>
      </c>
      <c r="M10" s="124">
        <f t="shared" si="5"/>
        <v>11451.841805441114</v>
      </c>
      <c r="N10">
        <v>0.40975480680064053</v>
      </c>
      <c r="O10" s="40">
        <v>1141033430</v>
      </c>
      <c r="P10" s="40">
        <f t="shared" si="6"/>
        <v>782809440</v>
      </c>
      <c r="Q10" s="40">
        <f t="shared" si="7"/>
        <v>358223990</v>
      </c>
      <c r="R10">
        <f t="shared" si="8"/>
        <v>1.2902237228867568</v>
      </c>
      <c r="S10">
        <f t="shared" si="9"/>
        <v>1.3760629105200302</v>
      </c>
    </row>
    <row r="11" spans="1:20">
      <c r="A11" s="45">
        <v>2007</v>
      </c>
      <c r="B11" s="123">
        <f>'Derived data'!M$16</f>
        <v>204813.34699999998</v>
      </c>
      <c r="C11" s="38">
        <f t="shared" si="10"/>
        <v>8.0633472068729839E-2</v>
      </c>
      <c r="D11" s="123">
        <v>164486</v>
      </c>
      <c r="E11" s="38">
        <f t="shared" si="0"/>
        <v>3.8874257094315023E-2</v>
      </c>
      <c r="F11" s="40">
        <f t="shared" si="1"/>
        <v>2038808.801</v>
      </c>
      <c r="G11" s="72">
        <v>207.34200000000001</v>
      </c>
      <c r="H11" s="40">
        <f t="shared" si="2"/>
        <v>2413534.3623814108</v>
      </c>
      <c r="I11" s="38">
        <f t="shared" si="3"/>
        <v>0.26529519613157859</v>
      </c>
      <c r="J11" s="40">
        <v>2038808801</v>
      </c>
      <c r="K11">
        <v>207.34200000000001</v>
      </c>
      <c r="L11" s="40">
        <f t="shared" si="4"/>
        <v>2413534362.3814106</v>
      </c>
      <c r="M11" s="124">
        <f t="shared" si="5"/>
        <v>11784.067775531303</v>
      </c>
      <c r="N11">
        <v>0.40012340568663263</v>
      </c>
      <c r="O11" s="40">
        <v>1194775690</v>
      </c>
      <c r="P11" s="40">
        <f t="shared" si="6"/>
        <v>815775121</v>
      </c>
      <c r="Q11" s="40">
        <f t="shared" si="7"/>
        <v>379000569</v>
      </c>
      <c r="R11">
        <f t="shared" si="8"/>
        <v>1.3445576405606636</v>
      </c>
      <c r="S11">
        <f t="shared" si="9"/>
        <v>1.4558729750815613</v>
      </c>
    </row>
    <row r="12" spans="1:20">
      <c r="A12" s="45">
        <v>2008</v>
      </c>
      <c r="B12" s="123">
        <f>'Derived data'!L$16</f>
        <v>206983.10850000003</v>
      </c>
      <c r="C12" s="38">
        <f t="shared" si="10"/>
        <v>9.20815389923475E-2</v>
      </c>
      <c r="D12" s="123">
        <v>166307</v>
      </c>
      <c r="E12" s="38">
        <f t="shared" si="0"/>
        <v>5.0375479217588559E-2</v>
      </c>
      <c r="F12" s="40">
        <f t="shared" si="1"/>
        <v>2144142.3250000002</v>
      </c>
      <c r="G12" s="72">
        <v>215.303</v>
      </c>
      <c r="H12" s="40">
        <f t="shared" si="2"/>
        <v>2444374.805155925</v>
      </c>
      <c r="I12" s="38">
        <f t="shared" si="3"/>
        <v>0.28146329578550722</v>
      </c>
      <c r="J12" s="40">
        <v>2144142325</v>
      </c>
      <c r="K12">
        <v>215.303</v>
      </c>
      <c r="L12" s="40">
        <f t="shared" si="4"/>
        <v>2444374805.1559248</v>
      </c>
      <c r="M12" s="124">
        <f t="shared" si="5"/>
        <v>11809.537613335846</v>
      </c>
      <c r="N12">
        <v>0.39456710645362592</v>
      </c>
      <c r="O12" s="40">
        <v>1244588986</v>
      </c>
      <c r="P12" s="40">
        <f t="shared" si="6"/>
        <v>846008033</v>
      </c>
      <c r="Q12" s="40">
        <f t="shared" si="7"/>
        <v>398580953</v>
      </c>
      <c r="R12">
        <f t="shared" si="8"/>
        <v>1.3943874181299629</v>
      </c>
      <c r="S12">
        <f t="shared" si="9"/>
        <v>1.5310880386962005</v>
      </c>
    </row>
    <row r="13" spans="1:20">
      <c r="A13" s="45">
        <v>2009</v>
      </c>
      <c r="B13" s="123">
        <f>'Derived data'!K$16</f>
        <v>211066.81799999997</v>
      </c>
      <c r="C13" s="38">
        <f t="shared" si="10"/>
        <v>0.1136279530349098</v>
      </c>
      <c r="D13" s="123">
        <v>169538</v>
      </c>
      <c r="E13" s="38">
        <f t="shared" si="0"/>
        <v>7.0782095736147799E-2</v>
      </c>
      <c r="F13" s="40">
        <f t="shared" si="1"/>
        <v>2176658.3569999998</v>
      </c>
      <c r="G13" s="72">
        <v>214.53700000000001</v>
      </c>
      <c r="H13" s="40">
        <f t="shared" si="2"/>
        <v>2490303.8235860914</v>
      </c>
      <c r="I13" s="38">
        <f t="shared" si="3"/>
        <v>0.30554158001817422</v>
      </c>
      <c r="J13" s="40">
        <v>2176658357</v>
      </c>
      <c r="K13">
        <v>214.53700000000001</v>
      </c>
      <c r="L13" s="40">
        <f t="shared" si="4"/>
        <v>2490303823.5860915</v>
      </c>
      <c r="M13" s="124">
        <f t="shared" si="5"/>
        <v>11798.651475316654</v>
      </c>
      <c r="N13">
        <v>0.40242080213601478</v>
      </c>
      <c r="O13" s="40">
        <v>1288540745</v>
      </c>
      <c r="P13" s="40">
        <f t="shared" si="6"/>
        <v>875932602</v>
      </c>
      <c r="Q13" s="40">
        <f t="shared" si="7"/>
        <v>412608143</v>
      </c>
      <c r="R13">
        <f t="shared" si="8"/>
        <v>1.4437089858680341</v>
      </c>
      <c r="S13">
        <f t="shared" si="9"/>
        <v>1.5849713531493097</v>
      </c>
    </row>
    <row r="14" spans="1:20">
      <c r="A14" s="45">
        <v>2010</v>
      </c>
      <c r="B14" s="123">
        <f>'Derived data'!J$16</f>
        <v>214702.64650000003</v>
      </c>
      <c r="C14" s="38">
        <f t="shared" si="10"/>
        <v>0.13281126327006509</v>
      </c>
      <c r="D14" s="123">
        <v>172391</v>
      </c>
      <c r="E14" s="38">
        <f t="shared" si="0"/>
        <v>8.880130865086433E-2</v>
      </c>
      <c r="F14" s="40">
        <f t="shared" si="1"/>
        <v>2096962.301</v>
      </c>
      <c r="G14" s="72">
        <v>218.05600000000001</v>
      </c>
      <c r="H14" s="40">
        <f t="shared" si="2"/>
        <v>2360406.7711386718</v>
      </c>
      <c r="I14" s="38">
        <f t="shared" si="3"/>
        <v>0.237443060678594</v>
      </c>
      <c r="J14" s="40">
        <v>2096962301</v>
      </c>
      <c r="K14">
        <v>218.05600000000001</v>
      </c>
      <c r="L14" s="40">
        <f t="shared" si="4"/>
        <v>2360406771.1386719</v>
      </c>
      <c r="M14" s="124">
        <f t="shared" si="5"/>
        <v>10993.841061659534</v>
      </c>
      <c r="N14">
        <v>0.41144049923480241</v>
      </c>
      <c r="O14" s="40">
        <v>1269896062</v>
      </c>
      <c r="P14" s="40">
        <f t="shared" si="6"/>
        <v>862775216</v>
      </c>
      <c r="Q14" s="40">
        <f t="shared" si="7"/>
        <v>407120846</v>
      </c>
      <c r="R14">
        <f t="shared" si="8"/>
        <v>1.422023029259772</v>
      </c>
      <c r="S14">
        <f t="shared" si="9"/>
        <v>1.563892737279089</v>
      </c>
    </row>
    <row r="15" spans="1:20">
      <c r="A15" s="45">
        <v>2011</v>
      </c>
      <c r="B15" s="123">
        <f>'Derived data'!I$16</f>
        <v>218960.5785</v>
      </c>
      <c r="C15" s="38">
        <f t="shared" si="10"/>
        <v>0.15527690776242586</v>
      </c>
      <c r="D15" s="123">
        <v>174933</v>
      </c>
      <c r="E15" s="38">
        <f t="shared" si="0"/>
        <v>0.10485628209257825</v>
      </c>
      <c r="F15" s="40">
        <f t="shared" si="1"/>
        <v>2122771.1830000002</v>
      </c>
      <c r="G15" s="72">
        <v>224.93916666666667</v>
      </c>
      <c r="H15" s="40">
        <f t="shared" si="2"/>
        <v>2316340.3452172945</v>
      </c>
      <c r="I15" s="38">
        <f t="shared" si="3"/>
        <v>0.21434124041944846</v>
      </c>
      <c r="J15" s="40">
        <v>2122771183</v>
      </c>
      <c r="K15">
        <v>224.93916666666667</v>
      </c>
      <c r="L15" s="40">
        <f t="shared" si="4"/>
        <v>2316340345.2172947</v>
      </c>
      <c r="M15" s="124">
        <f t="shared" si="5"/>
        <v>10578.800810106988</v>
      </c>
      <c r="N15">
        <v>0.40176944921340585</v>
      </c>
      <c r="O15" s="40">
        <v>1248783922</v>
      </c>
      <c r="P15" s="40">
        <f t="shared" si="6"/>
        <v>852864609</v>
      </c>
      <c r="Q15" s="40">
        <f t="shared" si="7"/>
        <v>395919313</v>
      </c>
      <c r="R15">
        <f t="shared" si="8"/>
        <v>1.4056884022021223</v>
      </c>
      <c r="S15">
        <f t="shared" si="9"/>
        <v>1.5208637539263377</v>
      </c>
    </row>
    <row r="16" spans="1:20">
      <c r="A16" s="45">
        <v>2012</v>
      </c>
      <c r="B16" s="123">
        <f>'Derived data'!H$16</f>
        <v>225180.16300000003</v>
      </c>
      <c r="C16" s="38">
        <f t="shared" si="10"/>
        <v>0.18809259722557337</v>
      </c>
      <c r="D16" s="123">
        <v>177918</v>
      </c>
      <c r="E16" s="38">
        <f t="shared" si="0"/>
        <v>0.12370919150387483</v>
      </c>
      <c r="F16" s="40">
        <f t="shared" si="1"/>
        <v>2214362.7089999998</v>
      </c>
      <c r="G16" s="72">
        <v>229.5939166666667</v>
      </c>
      <c r="H16" s="40">
        <f t="shared" si="2"/>
        <v>2367296.4805837926</v>
      </c>
      <c r="I16" s="38">
        <f t="shared" si="3"/>
        <v>0.24105499030326794</v>
      </c>
      <c r="J16" s="40">
        <v>2214362709</v>
      </c>
      <c r="K16">
        <v>229.5939166666667</v>
      </c>
      <c r="L16" s="40">
        <f t="shared" si="4"/>
        <v>2367296480.5837927</v>
      </c>
      <c r="M16" s="124">
        <f t="shared" si="5"/>
        <v>10512.899755667166</v>
      </c>
      <c r="N16">
        <v>0.40234323373443331</v>
      </c>
      <c r="O16" s="40">
        <v>1302541662</v>
      </c>
      <c r="P16" s="40">
        <f t="shared" si="6"/>
        <v>890933853</v>
      </c>
      <c r="Q16" s="40">
        <f t="shared" si="7"/>
        <v>411607809</v>
      </c>
      <c r="R16">
        <f t="shared" si="8"/>
        <v>1.4684339941831852</v>
      </c>
      <c r="S16">
        <f t="shared" si="9"/>
        <v>1.5811287224100001</v>
      </c>
    </row>
    <row r="17" spans="1:21">
      <c r="A17" s="45">
        <v>2013</v>
      </c>
      <c r="B17" s="123">
        <f>'Derived data'!G$16</f>
        <v>230685.90350000001</v>
      </c>
      <c r="C17" s="38">
        <f t="shared" si="10"/>
        <v>0.21714191241900371</v>
      </c>
      <c r="D17" s="123">
        <v>181259</v>
      </c>
      <c r="E17" s="38">
        <f t="shared" si="0"/>
        <v>0.14481055510291729</v>
      </c>
      <c r="F17" s="40">
        <f t="shared" si="1"/>
        <v>2535077.2289999998</v>
      </c>
      <c r="G17" s="72">
        <v>236.48173416666671</v>
      </c>
      <c r="H17" s="40">
        <f t="shared" si="2"/>
        <v>2631224.2492357162</v>
      </c>
      <c r="I17" s="38">
        <f t="shared" si="3"/>
        <v>0.37941910187593408</v>
      </c>
      <c r="J17" s="40">
        <v>2535077229</v>
      </c>
      <c r="K17">
        <v>236.48173416666671</v>
      </c>
      <c r="L17" s="40">
        <f t="shared" si="4"/>
        <v>2631224249.2357163</v>
      </c>
      <c r="M17" s="124">
        <f t="shared" si="5"/>
        <v>11406.090312907725</v>
      </c>
      <c r="N17">
        <v>0.37727110876904968</v>
      </c>
      <c r="O17" s="40">
        <f>'Budget summary'!F$7</f>
        <v>1354649129</v>
      </c>
      <c r="P17" s="40">
        <f>'Expenditure detail'!F$58</f>
        <v>922083851</v>
      </c>
      <c r="Q17" s="40">
        <f t="shared" si="7"/>
        <v>432565278</v>
      </c>
      <c r="R17">
        <f t="shared" si="8"/>
        <v>1.51977530962194</v>
      </c>
      <c r="S17">
        <f t="shared" si="9"/>
        <v>1.6616336483622607</v>
      </c>
    </row>
    <row r="18" spans="1:21">
      <c r="A18" s="45">
        <v>2014</v>
      </c>
      <c r="B18" s="123">
        <f>'Derived data'!F$16</f>
        <v>234077</v>
      </c>
      <c r="C18" s="38">
        <f t="shared" si="10"/>
        <v>0.235033970913195</v>
      </c>
      <c r="D18" s="123">
        <f>'Derived data'!F$8</f>
        <v>183895</v>
      </c>
      <c r="E18" s="38">
        <f t="shared" si="0"/>
        <v>0.16145922150431691</v>
      </c>
      <c r="F18" s="40">
        <f t="shared" si="1"/>
        <v>2440225.9610000001</v>
      </c>
      <c r="G18" s="72">
        <f>'Budget summary'!E$4</f>
        <v>241.46649999999997</v>
      </c>
      <c r="H18" s="40">
        <f t="shared" si="2"/>
        <v>2480489.6893565003</v>
      </c>
      <c r="I18" s="38">
        <f t="shared" si="3"/>
        <v>0.30039652093451585</v>
      </c>
      <c r="J18" s="40">
        <v>2440225961</v>
      </c>
      <c r="K18" s="72">
        <f>G18</f>
        <v>241.46649999999997</v>
      </c>
      <c r="L18" s="40">
        <f t="shared" si="4"/>
        <v>2480489689.3565001</v>
      </c>
      <c r="M18" s="124">
        <f t="shared" si="5"/>
        <v>10596.896274971485</v>
      </c>
      <c r="N18">
        <f>P18/J18</f>
        <v>0.39214943832818278</v>
      </c>
      <c r="O18" s="40">
        <f>'Budget summary'!E$7</f>
        <v>1405539523</v>
      </c>
      <c r="P18" s="40">
        <f>'Expenditure detail'!E$58</f>
        <v>956933240</v>
      </c>
      <c r="Q18" s="40">
        <f t="shared" si="7"/>
        <v>448606283</v>
      </c>
      <c r="R18">
        <f t="shared" si="8"/>
        <v>1.5772139480930203</v>
      </c>
      <c r="S18">
        <f t="shared" si="9"/>
        <v>1.7232527264925845</v>
      </c>
      <c r="T18" s="46">
        <f>R18^(1/14)-1</f>
        <v>3.3082591993681021E-2</v>
      </c>
      <c r="U18" s="46">
        <f>S18^(1/14)-1</f>
        <v>3.9637819254471518E-2</v>
      </c>
    </row>
    <row r="19" spans="1:21">
      <c r="A19" s="45">
        <v>2015</v>
      </c>
      <c r="B19" s="123">
        <f>'Derived data'!E$16</f>
        <v>238297.9</v>
      </c>
      <c r="C19" s="38">
        <f t="shared" si="10"/>
        <v>0.25730422765703342</v>
      </c>
      <c r="D19" s="123">
        <f>'Derived data'!E$8</f>
        <v>186785</v>
      </c>
      <c r="E19" s="38">
        <f t="shared" si="0"/>
        <v>0.17971212207337794</v>
      </c>
      <c r="F19" s="40">
        <f t="shared" si="1"/>
        <v>2466283.1719999998</v>
      </c>
      <c r="G19" s="72">
        <f>'Budget summary'!D$4</f>
        <v>245.45069724999996</v>
      </c>
      <c r="H19" s="40">
        <f t="shared" si="2"/>
        <v>2466283.1719999998</v>
      </c>
      <c r="I19" s="38">
        <f t="shared" si="3"/>
        <v>0.29294875534844644</v>
      </c>
      <c r="J19" s="40">
        <f>'Budget summary'!D21</f>
        <v>2466283172</v>
      </c>
      <c r="K19" s="72">
        <f>G19</f>
        <v>245.45069724999996</v>
      </c>
      <c r="L19" s="40">
        <f t="shared" si="4"/>
        <v>2466283172</v>
      </c>
      <c r="M19" s="124">
        <f t="shared" si="5"/>
        <v>10349.579966923755</v>
      </c>
      <c r="N19">
        <f>P19/J19</f>
        <v>0.3890537497451651</v>
      </c>
      <c r="O19" s="40">
        <f>'Budget summary'!D$7</f>
        <v>1407955382</v>
      </c>
      <c r="P19" s="40">
        <f>'Expenditure detail'!D58</f>
        <v>959516716</v>
      </c>
      <c r="Q19" s="40">
        <f t="shared" si="7"/>
        <v>448438666</v>
      </c>
      <c r="R19">
        <f t="shared" si="8"/>
        <v>1.5814720240082885</v>
      </c>
      <c r="S19">
        <f t="shared" si="9"/>
        <v>1.7226088513102644</v>
      </c>
    </row>
    <row r="20" spans="1:21">
      <c r="A20" s="45">
        <v>2016</v>
      </c>
      <c r="B20" s="123">
        <f>'Derived data'!D$16</f>
        <v>240658.7</v>
      </c>
      <c r="C20" s="38">
        <f t="shared" si="10"/>
        <v>0.26976024938719867</v>
      </c>
      <c r="D20" s="123">
        <f>'Derived data'!D$8</f>
        <v>188545</v>
      </c>
      <c r="E20" s="38">
        <f t="shared" si="0"/>
        <v>0.19082807536111068</v>
      </c>
      <c r="F20" s="40">
        <f t="shared" si="1"/>
        <v>2551616.0610000002</v>
      </c>
      <c r="G20" s="72">
        <f>'Budget summary'!C$4</f>
        <v>249.50063375462494</v>
      </c>
      <c r="H20" s="40">
        <f t="shared" si="2"/>
        <v>2510197.7973438273</v>
      </c>
      <c r="I20" s="38">
        <f t="shared" si="3"/>
        <v>0.31597099416697216</v>
      </c>
      <c r="J20" s="40">
        <f>'Budget summary'!C21</f>
        <v>2551616061</v>
      </c>
      <c r="K20" s="72">
        <f>G20</f>
        <v>249.50063375462494</v>
      </c>
      <c r="L20" s="40">
        <f t="shared" si="4"/>
        <v>2510197797.3438272</v>
      </c>
      <c r="M20" s="124">
        <f t="shared" si="5"/>
        <v>10430.530030054293</v>
      </c>
      <c r="N20">
        <f>P20/J20</f>
        <v>0.40161152011184176</v>
      </c>
      <c r="O20" s="40">
        <f>'Budget summary'!C$7</f>
        <v>1457015320</v>
      </c>
      <c r="P20" s="40">
        <f>'Expenditure detail'!C58</f>
        <v>1024758405</v>
      </c>
      <c r="Q20" s="40">
        <f t="shared" si="7"/>
        <v>432256915</v>
      </c>
      <c r="R20">
        <f t="shared" si="8"/>
        <v>1.6890031427809491</v>
      </c>
      <c r="S20">
        <f t="shared" si="9"/>
        <v>1.6604491188524511</v>
      </c>
    </row>
    <row r="21" spans="1:21">
      <c r="A21" s="45">
        <v>2017</v>
      </c>
      <c r="B21" s="123">
        <f>'Derived data'!C$16</f>
        <v>238955.9833763823</v>
      </c>
      <c r="C21" s="38">
        <f t="shared" si="10"/>
        <v>0.26077639846204814</v>
      </c>
      <c r="D21" s="123">
        <f>'Derived data'!C$8</f>
        <v>187211</v>
      </c>
      <c r="E21" s="38">
        <f t="shared" si="0"/>
        <v>0.18240268803961324</v>
      </c>
      <c r="F21" s="40">
        <f t="shared" si="1"/>
        <v>2673059.142</v>
      </c>
      <c r="G21" s="72">
        <f>'Budget summary'!B$4</f>
        <v>253.61739421157625</v>
      </c>
      <c r="H21" s="40">
        <f t="shared" si="2"/>
        <v>2586984.3518975764</v>
      </c>
      <c r="I21" s="38">
        <f t="shared" si="3"/>
        <v>0.35622633924044766</v>
      </c>
      <c r="J21" s="40">
        <f>'Budget summary'!B21</f>
        <v>2673059142</v>
      </c>
      <c r="K21" s="72">
        <f>G21</f>
        <v>253.61739421157625</v>
      </c>
      <c r="L21" s="40">
        <f t="shared" si="4"/>
        <v>2586984351.8975763</v>
      </c>
      <c r="M21" s="124">
        <f t="shared" si="5"/>
        <v>10826.196169454304</v>
      </c>
      <c r="N21">
        <f>P21/J21</f>
        <v>0.40343066378738579</v>
      </c>
      <c r="O21" s="40">
        <f>'Budget summary'!B$7</f>
        <v>1525147447</v>
      </c>
      <c r="P21" s="40">
        <f>'Expenditure detail'!B58</f>
        <v>1078394024</v>
      </c>
      <c r="Q21" s="40">
        <f t="shared" si="7"/>
        <v>446753423</v>
      </c>
      <c r="R21">
        <f t="shared" si="8"/>
        <v>1.7774051784353935</v>
      </c>
      <c r="S21">
        <f t="shared" si="9"/>
        <v>1.716135246939118</v>
      </c>
    </row>
  </sheetData>
  <mergeCells count="2">
    <mergeCell ref="D2:E2"/>
    <mergeCell ref="B2:C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Sheet6"/>
  <dimension ref="A1:V108"/>
  <sheetViews>
    <sheetView workbookViewId="0">
      <pane xSplit="1" ySplit="6" topLeftCell="B7" activePane="bottomRight" state="frozen"/>
      <selection pane="topRight" activeCell="B1" sqref="B1"/>
      <selection pane="bottomLeft" activeCell="A7" sqref="A7"/>
      <selection pane="bottomRight" activeCell="C27" sqref="C27"/>
    </sheetView>
  </sheetViews>
  <sheetFormatPr defaultRowHeight="12.75"/>
  <cols>
    <col min="1" max="1" width="47.5703125" bestFit="1" customWidth="1"/>
    <col min="2" max="16" width="10.7109375" customWidth="1"/>
    <col min="17" max="17" width="11.28515625" bestFit="1" customWidth="1"/>
    <col min="18" max="20" width="10.28515625" customWidth="1"/>
  </cols>
  <sheetData>
    <row r="1" spans="1:20">
      <c r="A1" t="s">
        <v>1114</v>
      </c>
      <c r="I1" s="82" t="s">
        <v>123</v>
      </c>
      <c r="N1" s="24"/>
    </row>
    <row r="2" spans="1:20">
      <c r="I2" s="44" t="s">
        <v>845</v>
      </c>
    </row>
    <row r="3" spans="1:20">
      <c r="A3" s="4" t="s">
        <v>639</v>
      </c>
      <c r="B3" s="83" t="s">
        <v>846</v>
      </c>
      <c r="C3" s="4"/>
      <c r="D3" s="21"/>
      <c r="E3" s="21"/>
      <c r="F3" s="21"/>
      <c r="G3" s="21"/>
      <c r="H3" s="21"/>
      <c r="I3" s="21"/>
      <c r="J3" s="21"/>
      <c r="K3" s="21"/>
      <c r="L3" s="21"/>
      <c r="M3" s="21"/>
      <c r="N3" s="21"/>
      <c r="O3" s="21"/>
      <c r="Q3" s="21"/>
      <c r="R3" s="21"/>
      <c r="S3" s="21"/>
      <c r="T3" s="21"/>
    </row>
    <row r="4" spans="1:20">
      <c r="A4" s="4" t="s">
        <v>843</v>
      </c>
      <c r="B4" s="4" t="s">
        <v>844</v>
      </c>
      <c r="C4" s="4" t="s">
        <v>844</v>
      </c>
      <c r="D4" s="4" t="s">
        <v>844</v>
      </c>
      <c r="E4" s="4" t="s">
        <v>844</v>
      </c>
      <c r="F4" s="4" t="s">
        <v>844</v>
      </c>
      <c r="G4" s="4" t="s">
        <v>844</v>
      </c>
      <c r="H4" s="4" t="s">
        <v>844</v>
      </c>
      <c r="I4" s="4" t="s">
        <v>844</v>
      </c>
      <c r="J4" s="4" t="s">
        <v>844</v>
      </c>
      <c r="K4" s="4" t="s">
        <v>844</v>
      </c>
      <c r="L4" s="4" t="s">
        <v>844</v>
      </c>
      <c r="M4" s="4" t="s">
        <v>844</v>
      </c>
      <c r="N4" s="4" t="s">
        <v>844</v>
      </c>
      <c r="O4" s="4" t="s">
        <v>844</v>
      </c>
      <c r="P4" s="4" t="s">
        <v>844</v>
      </c>
      <c r="Q4" s="4" t="s">
        <v>844</v>
      </c>
    </row>
    <row r="5" spans="1:20">
      <c r="C5" s="24" t="s">
        <v>981</v>
      </c>
      <c r="D5" s="24" t="s">
        <v>1113</v>
      </c>
      <c r="E5" s="24" t="s">
        <v>1018</v>
      </c>
      <c r="L5" s="24" t="s">
        <v>115</v>
      </c>
      <c r="M5" s="24" t="s">
        <v>115</v>
      </c>
      <c r="N5" s="24" t="s">
        <v>115</v>
      </c>
      <c r="O5" s="24" t="s">
        <v>115</v>
      </c>
      <c r="P5" s="24" t="s">
        <v>115</v>
      </c>
      <c r="Q5" s="24" t="s">
        <v>115</v>
      </c>
      <c r="R5" s="24" t="s">
        <v>115</v>
      </c>
      <c r="S5" s="24" t="s">
        <v>115</v>
      </c>
      <c r="T5" s="24" t="s">
        <v>115</v>
      </c>
    </row>
    <row r="6" spans="1:20">
      <c r="A6" s="67" t="s">
        <v>847</v>
      </c>
      <c r="B6" s="84">
        <v>2018</v>
      </c>
      <c r="C6" s="84">
        <v>2017</v>
      </c>
      <c r="D6" s="84">
        <v>2016</v>
      </c>
      <c r="E6" s="84">
        <v>2015</v>
      </c>
      <c r="F6" s="84">
        <v>2014</v>
      </c>
      <c r="G6" s="84">
        <v>2013</v>
      </c>
      <c r="H6" s="84">
        <v>2012</v>
      </c>
      <c r="I6" s="84">
        <v>2011</v>
      </c>
      <c r="J6" s="84">
        <v>2010</v>
      </c>
      <c r="K6" s="84">
        <v>2009</v>
      </c>
      <c r="L6" s="84">
        <v>2008</v>
      </c>
      <c r="M6" s="84">
        <v>2007</v>
      </c>
      <c r="N6" s="84">
        <v>2006</v>
      </c>
      <c r="O6" s="84">
        <v>2005</v>
      </c>
      <c r="P6" s="84">
        <v>2004</v>
      </c>
      <c r="Q6" s="84">
        <v>2003</v>
      </c>
      <c r="R6" s="84">
        <v>2002</v>
      </c>
      <c r="S6" s="84">
        <v>2001</v>
      </c>
      <c r="T6" s="2">
        <v>2000</v>
      </c>
    </row>
    <row r="7" spans="1:20">
      <c r="A7" s="24" t="s">
        <v>854</v>
      </c>
      <c r="B7" s="43">
        <v>195806</v>
      </c>
      <c r="C7" s="43">
        <f>D7-1334</f>
        <v>189143</v>
      </c>
      <c r="D7" s="43">
        <v>190477</v>
      </c>
      <c r="E7" s="43">
        <v>186785</v>
      </c>
      <c r="F7" s="43">
        <v>184625</v>
      </c>
      <c r="G7" s="43">
        <v>181536</v>
      </c>
      <c r="H7" s="43">
        <v>177629</v>
      </c>
      <c r="I7" s="43">
        <v>175296</v>
      </c>
      <c r="J7" s="43">
        <v>173573</v>
      </c>
      <c r="K7" s="43">
        <v>168384</v>
      </c>
      <c r="L7" s="84"/>
      <c r="M7" s="84"/>
      <c r="N7" s="84"/>
      <c r="O7" s="84"/>
      <c r="P7" s="84"/>
      <c r="Q7" s="84"/>
      <c r="R7" s="84"/>
      <c r="S7" s="84"/>
      <c r="T7" s="2"/>
    </row>
    <row r="8" spans="1:20">
      <c r="A8" s="24" t="s">
        <v>856</v>
      </c>
      <c r="B8" s="90"/>
      <c r="C8" s="90">
        <f>D8-1334</f>
        <v>187211</v>
      </c>
      <c r="D8" s="90">
        <v>188545</v>
      </c>
      <c r="E8" s="43">
        <v>186785</v>
      </c>
      <c r="F8" s="43">
        <v>183895</v>
      </c>
      <c r="G8" s="43">
        <v>181259</v>
      </c>
      <c r="H8" s="43">
        <v>177918</v>
      </c>
      <c r="I8" s="43">
        <v>174933</v>
      </c>
      <c r="J8" s="43">
        <v>172391</v>
      </c>
      <c r="K8" s="43">
        <v>169538</v>
      </c>
      <c r="L8" s="43">
        <v>166307</v>
      </c>
      <c r="M8" s="43">
        <v>164486</v>
      </c>
      <c r="N8" s="43">
        <v>164284</v>
      </c>
      <c r="O8" s="43">
        <v>164408</v>
      </c>
      <c r="P8" s="43">
        <v>164195</v>
      </c>
      <c r="Q8" s="43">
        <v>163386</v>
      </c>
      <c r="R8" s="43">
        <v>161385</v>
      </c>
      <c r="S8" s="43">
        <v>158331</v>
      </c>
      <c r="T8" s="43">
        <v>154523</v>
      </c>
    </row>
    <row r="9" spans="1:20">
      <c r="A9" t="s">
        <v>848</v>
      </c>
      <c r="B9" s="85"/>
      <c r="C9" s="85">
        <f>D9</f>
        <v>0.16966241480813599</v>
      </c>
      <c r="D9" s="85">
        <f>D10/D8</f>
        <v>0.16966241480813599</v>
      </c>
      <c r="E9" s="85">
        <f>E10/E8</f>
        <v>0.17187140294991568</v>
      </c>
      <c r="F9" s="85">
        <f>F10/F8</f>
        <v>0.16968378694363631</v>
      </c>
      <c r="G9" s="85">
        <v>0.17300000000000001</v>
      </c>
      <c r="H9" s="85">
        <v>0.157</v>
      </c>
      <c r="I9" s="85">
        <v>0.129</v>
      </c>
      <c r="J9" s="85">
        <v>0.123</v>
      </c>
      <c r="K9" s="85">
        <v>0.122</v>
      </c>
      <c r="L9" s="85">
        <v>0.13100000000000001</v>
      </c>
      <c r="M9" s="85">
        <v>0.129</v>
      </c>
      <c r="N9" s="85">
        <v>0.128</v>
      </c>
      <c r="O9" s="85">
        <v>0.127</v>
      </c>
      <c r="P9" s="85">
        <v>0.122</v>
      </c>
      <c r="Q9" s="85">
        <v>0.11899999999999999</v>
      </c>
      <c r="R9" s="85">
        <v>0.11</v>
      </c>
      <c r="S9" s="85">
        <v>9.8000000000000004E-2</v>
      </c>
      <c r="T9" s="85">
        <v>8.6999999999999994E-2</v>
      </c>
    </row>
    <row r="10" spans="1:20">
      <c r="A10" s="24" t="s">
        <v>857</v>
      </c>
      <c r="B10" s="43"/>
      <c r="C10" s="43">
        <f>C9*C8</f>
        <v>31762.670338645945</v>
      </c>
      <c r="D10" s="43">
        <v>31989</v>
      </c>
      <c r="E10" s="43">
        <v>32103</v>
      </c>
      <c r="F10" s="43">
        <v>31204</v>
      </c>
      <c r="G10" s="43">
        <v>28725</v>
      </c>
      <c r="H10" s="43">
        <v>27944</v>
      </c>
      <c r="I10" s="43">
        <v>22650</v>
      </c>
      <c r="J10" s="43">
        <f>J9*J8</f>
        <v>21204.093000000001</v>
      </c>
      <c r="K10" s="43">
        <f t="shared" ref="K10" si="0">K9*K8</f>
        <v>20683.635999999999</v>
      </c>
      <c r="L10" s="43">
        <f t="shared" ref="L10:T10" si="1">L9*L8</f>
        <v>21786.217000000001</v>
      </c>
      <c r="M10" s="43">
        <f t="shared" si="1"/>
        <v>21218.694</v>
      </c>
      <c r="N10" s="43">
        <f t="shared" si="1"/>
        <v>21028.351999999999</v>
      </c>
      <c r="O10" s="43">
        <f t="shared" si="1"/>
        <v>20879.815999999999</v>
      </c>
      <c r="P10" s="43">
        <f t="shared" si="1"/>
        <v>20031.79</v>
      </c>
      <c r="Q10" s="43">
        <f t="shared" si="1"/>
        <v>19442.933999999997</v>
      </c>
      <c r="R10" s="43">
        <f t="shared" si="1"/>
        <v>17752.349999999999</v>
      </c>
      <c r="S10" s="43">
        <f t="shared" si="1"/>
        <v>15516.438</v>
      </c>
      <c r="T10" s="43">
        <f t="shared" si="1"/>
        <v>13443.500999999998</v>
      </c>
    </row>
    <row r="11" spans="1:20">
      <c r="A11" t="s">
        <v>849</v>
      </c>
      <c r="C11" s="46">
        <f>D11</f>
        <v>0.28000000000000003</v>
      </c>
      <c r="D11" s="46">
        <v>0.28000000000000003</v>
      </c>
      <c r="E11" s="46">
        <f>E12/E8</f>
        <v>0.28189629788259229</v>
      </c>
      <c r="F11" s="46">
        <f>F12/F8</f>
        <v>0.27371597922727642</v>
      </c>
      <c r="G11" s="46">
        <f>G12/G8</f>
        <v>0.27350366050789204</v>
      </c>
      <c r="H11" s="85">
        <v>0.25900000000000001</v>
      </c>
      <c r="I11" s="85">
        <v>0.245</v>
      </c>
      <c r="J11" s="85">
        <v>0.22500000000000001</v>
      </c>
      <c r="K11" s="85">
        <v>0.22500000000000001</v>
      </c>
      <c r="L11" s="85">
        <v>0.21199999999999999</v>
      </c>
      <c r="M11" s="85">
        <v>0.2</v>
      </c>
      <c r="N11" s="85">
        <v>0.19800000000000001</v>
      </c>
      <c r="O11" s="85">
        <v>0.20399999999999999</v>
      </c>
      <c r="P11" s="85">
        <v>0.191</v>
      </c>
      <c r="Q11" s="85">
        <v>0.22800000000000001</v>
      </c>
      <c r="R11" s="85">
        <v>0.20300000000000001</v>
      </c>
      <c r="S11" s="85">
        <v>0.19600000000000001</v>
      </c>
      <c r="T11" s="85">
        <v>0.188</v>
      </c>
    </row>
    <row r="12" spans="1:20">
      <c r="A12" s="24" t="s">
        <v>858</v>
      </c>
      <c r="B12" s="43"/>
      <c r="C12" s="43">
        <f>C8*C11</f>
        <v>52419.08</v>
      </c>
      <c r="D12" s="43">
        <f>D8*D11</f>
        <v>52792.600000000006</v>
      </c>
      <c r="E12" s="43">
        <v>52654</v>
      </c>
      <c r="F12" s="43">
        <v>50335</v>
      </c>
      <c r="G12" s="43">
        <v>49575</v>
      </c>
      <c r="H12">
        <v>46117</v>
      </c>
      <c r="I12" s="43">
        <v>42204</v>
      </c>
      <c r="J12" s="43">
        <f>J11*J8</f>
        <v>38787.974999999999</v>
      </c>
      <c r="K12" s="43">
        <v>37191</v>
      </c>
      <c r="L12" s="43">
        <f t="shared" ref="L12:T12" si="2">L11*L8</f>
        <v>35257.084000000003</v>
      </c>
      <c r="M12" s="43">
        <f t="shared" si="2"/>
        <v>32897.200000000004</v>
      </c>
      <c r="N12" s="43">
        <f t="shared" si="2"/>
        <v>32528.232</v>
      </c>
      <c r="O12" s="43">
        <f t="shared" si="2"/>
        <v>33539.231999999996</v>
      </c>
      <c r="P12" s="43">
        <f t="shared" si="2"/>
        <v>31361.244999999999</v>
      </c>
      <c r="Q12" s="43">
        <f t="shared" si="2"/>
        <v>37252.008000000002</v>
      </c>
      <c r="R12" s="43">
        <f t="shared" si="2"/>
        <v>32761.155000000002</v>
      </c>
      <c r="S12" s="43">
        <f t="shared" si="2"/>
        <v>31032.876</v>
      </c>
      <c r="T12" s="43">
        <f t="shared" si="2"/>
        <v>29050.324000000001</v>
      </c>
    </row>
    <row r="13" spans="1:20">
      <c r="A13" s="24" t="s">
        <v>971</v>
      </c>
      <c r="C13" s="43">
        <f>C7*C14</f>
        <v>13936.060653955288</v>
      </c>
      <c r="D13" s="43">
        <v>13892</v>
      </c>
      <c r="E13" s="43">
        <v>13639</v>
      </c>
      <c r="F13" s="43">
        <v>13300</v>
      </c>
      <c r="G13" s="43">
        <v>12980</v>
      </c>
      <c r="H13" s="43">
        <v>12806</v>
      </c>
      <c r="I13" s="43">
        <v>12594</v>
      </c>
      <c r="J13" s="43">
        <v>12196</v>
      </c>
      <c r="K13" s="43">
        <v>11995</v>
      </c>
      <c r="L13" s="43">
        <v>11455</v>
      </c>
      <c r="M13" s="43">
        <v>11430</v>
      </c>
      <c r="N13" s="43">
        <v>10889</v>
      </c>
      <c r="O13" s="43">
        <v>10613</v>
      </c>
      <c r="P13" s="43">
        <v>10474</v>
      </c>
      <c r="Q13" s="43">
        <v>10152</v>
      </c>
      <c r="R13" s="43">
        <v>9354</v>
      </c>
      <c r="S13" s="43">
        <v>9016</v>
      </c>
      <c r="T13" s="43">
        <v>8868</v>
      </c>
    </row>
    <row r="14" spans="1:20">
      <c r="A14" t="s">
        <v>1077</v>
      </c>
      <c r="C14" s="85">
        <f>D14</f>
        <v>7.3680023336603992E-2</v>
      </c>
      <c r="D14" s="46">
        <f t="shared" ref="D14:J14" si="3">D13/D8</f>
        <v>7.3680023336603992E-2</v>
      </c>
      <c r="E14" s="46">
        <f t="shared" si="3"/>
        <v>7.3019782102417219E-2</v>
      </c>
      <c r="F14" s="46">
        <f t="shared" si="3"/>
        <v>7.2323880475271218E-2</v>
      </c>
      <c r="G14" s="46">
        <f t="shared" si="3"/>
        <v>7.1610237284769312E-2</v>
      </c>
      <c r="H14" s="46">
        <f t="shared" si="3"/>
        <v>7.1976978158477506E-2</v>
      </c>
      <c r="I14" s="46">
        <f t="shared" si="3"/>
        <v>7.1993277426214614E-2</v>
      </c>
      <c r="J14" s="46">
        <f t="shared" si="3"/>
        <v>7.0746152641379192E-2</v>
      </c>
      <c r="K14" s="46">
        <f t="shared" ref="K14" si="4">K13/K8</f>
        <v>7.0751100048366738E-2</v>
      </c>
      <c r="L14" s="46">
        <f t="shared" ref="L14:T14" si="5">L13/L8</f>
        <v>6.8878640105347333E-2</v>
      </c>
      <c r="M14" s="46">
        <f t="shared" si="5"/>
        <v>6.9489196648954921E-2</v>
      </c>
      <c r="N14" s="46">
        <f t="shared" si="5"/>
        <v>6.6281561198899469E-2</v>
      </c>
      <c r="O14" s="46">
        <f t="shared" si="5"/>
        <v>6.4552819814120962E-2</v>
      </c>
      <c r="P14" s="46">
        <f t="shared" si="5"/>
        <v>6.3790005785803461E-2</v>
      </c>
      <c r="Q14" s="46">
        <f t="shared" si="5"/>
        <v>6.2135066651977523E-2</v>
      </c>
      <c r="R14" s="46">
        <f t="shared" si="5"/>
        <v>5.7960777023886981E-2</v>
      </c>
      <c r="S14" s="46">
        <f t="shared" si="5"/>
        <v>5.6943997069430499E-2</v>
      </c>
      <c r="T14" s="46">
        <f t="shared" si="5"/>
        <v>5.7389514829507583E-2</v>
      </c>
    </row>
    <row r="15" spans="1:20">
      <c r="A15" s="24" t="s">
        <v>1107</v>
      </c>
      <c r="C15" s="43">
        <f>Positions!C54</f>
        <v>15269.699999999999</v>
      </c>
      <c r="D15" s="43">
        <f>Positions!D54</f>
        <v>15161.699999999999</v>
      </c>
      <c r="E15" s="43">
        <f>Positions!E54</f>
        <v>14851.2</v>
      </c>
      <c r="F15" s="43">
        <f>Positions!F54</f>
        <v>14978.799999999997</v>
      </c>
      <c r="G15" s="43">
        <f>Positions!G54</f>
        <v>14721.5</v>
      </c>
      <c r="H15" s="43">
        <f>Positions!H54</f>
        <v>14320.300000000001</v>
      </c>
      <c r="I15" s="43">
        <f>Positions!I54</f>
        <v>13918.9</v>
      </c>
      <c r="J15" s="43">
        <f>Positions!J54</f>
        <v>13719.099999999999</v>
      </c>
      <c r="K15" s="43">
        <f>Positions!K54</f>
        <v>13731.9</v>
      </c>
      <c r="L15" s="43">
        <f>Positions!L54</f>
        <v>13715.300000000001</v>
      </c>
      <c r="M15" s="43">
        <f>Positions!M54</f>
        <v>13598.6</v>
      </c>
      <c r="N15" s="43">
        <f>Positions!N54</f>
        <v>13580.099999999999</v>
      </c>
      <c r="O15" s="43">
        <f>Positions!O54</f>
        <v>13536.8</v>
      </c>
      <c r="P15" s="43">
        <f>Positions!P54</f>
        <v>13336.700000000004</v>
      </c>
      <c r="Q15" s="43">
        <f>Positions!Q54</f>
        <v>13074.100000000002</v>
      </c>
      <c r="R15" s="43">
        <f>Positions!R54</f>
        <v>12933.8</v>
      </c>
      <c r="S15" s="43">
        <f>Positions!S54</f>
        <v>12596.699999999999</v>
      </c>
      <c r="T15" s="43"/>
    </row>
    <row r="16" spans="1:20">
      <c r="A16" s="24" t="s">
        <v>953</v>
      </c>
      <c r="C16" s="29">
        <f t="shared" ref="C16:J16" si="6">C8*(1+0.5*C9+0*C11+2.6*C14)</f>
        <v>238955.9833763823</v>
      </c>
      <c r="D16" s="29">
        <f t="shared" si="6"/>
        <v>240658.7</v>
      </c>
      <c r="E16" s="29">
        <f t="shared" si="6"/>
        <v>238297.9</v>
      </c>
      <c r="F16" s="29">
        <f t="shared" si="6"/>
        <v>234077</v>
      </c>
      <c r="G16" s="29">
        <f t="shared" si="6"/>
        <v>230685.90350000001</v>
      </c>
      <c r="H16" s="29">
        <f t="shared" si="6"/>
        <v>225180.16300000003</v>
      </c>
      <c r="I16" s="29">
        <f t="shared" si="6"/>
        <v>218960.5785</v>
      </c>
      <c r="J16" s="29">
        <f t="shared" si="6"/>
        <v>214702.64650000003</v>
      </c>
      <c r="K16" s="29">
        <f t="shared" ref="K16" si="7">K8*(1+0.5*K9+0*K11+2.6*K14)</f>
        <v>211066.81799999997</v>
      </c>
      <c r="L16" s="29">
        <f t="shared" ref="L16:T16" si="8">L8*(1+0.5*L9+0*L11+2.6*L14)</f>
        <v>206983.10850000003</v>
      </c>
      <c r="M16" s="29">
        <f t="shared" si="8"/>
        <v>204813.34699999998</v>
      </c>
      <c r="N16" s="29">
        <f t="shared" si="8"/>
        <v>203109.57600000003</v>
      </c>
      <c r="O16" s="29">
        <f t="shared" si="8"/>
        <v>202441.70799999998</v>
      </c>
      <c r="P16" s="29">
        <f t="shared" si="8"/>
        <v>201443.29499999998</v>
      </c>
      <c r="Q16" s="29">
        <f t="shared" si="8"/>
        <v>199502.66699999999</v>
      </c>
      <c r="R16" s="29">
        <f t="shared" si="8"/>
        <v>194581.57500000001</v>
      </c>
      <c r="S16" s="29">
        <f t="shared" si="8"/>
        <v>189530.81899999999</v>
      </c>
      <c r="T16" s="29">
        <f t="shared" si="8"/>
        <v>184301.55050000001</v>
      </c>
    </row>
    <row r="17" spans="1:22">
      <c r="A17" s="24" t="s">
        <v>859</v>
      </c>
      <c r="B17" s="73"/>
      <c r="C17" s="73">
        <f t="shared" ref="C17:D17" si="9">C8/C15</f>
        <v>12.260293260509375</v>
      </c>
      <c r="D17" s="73">
        <f t="shared" si="9"/>
        <v>12.43561078243205</v>
      </c>
      <c r="E17" s="73">
        <f t="shared" ref="E17:J17" si="10">E8/E15</f>
        <v>12.577098146951087</v>
      </c>
      <c r="F17" s="73">
        <f t="shared" si="10"/>
        <v>12.277018185702461</v>
      </c>
      <c r="G17" s="73">
        <f t="shared" si="10"/>
        <v>12.31253608667595</v>
      </c>
      <c r="H17" s="73">
        <f t="shared" si="10"/>
        <v>12.424181057659405</v>
      </c>
      <c r="I17" s="73">
        <f t="shared" si="10"/>
        <v>12.568019024491878</v>
      </c>
      <c r="J17" s="73">
        <f t="shared" si="10"/>
        <v>12.565765975902211</v>
      </c>
      <c r="K17" s="73">
        <f t="shared" ref="K17" si="11">K8/K15</f>
        <v>12.346288568952586</v>
      </c>
      <c r="L17" s="73">
        <f t="shared" ref="L17:S17" si="12">L8/L15</f>
        <v>12.125655290077503</v>
      </c>
      <c r="M17" s="73">
        <f t="shared" si="12"/>
        <v>12.095803979821453</v>
      </c>
      <c r="N17" s="73">
        <f t="shared" si="12"/>
        <v>12.097407235587369</v>
      </c>
      <c r="O17" s="73">
        <f t="shared" si="12"/>
        <v>12.145263282311921</v>
      </c>
      <c r="P17" s="73">
        <f t="shared" si="12"/>
        <v>12.31151634212361</v>
      </c>
      <c r="Q17" s="73">
        <f t="shared" si="12"/>
        <v>12.496921394206865</v>
      </c>
      <c r="R17" s="73">
        <f t="shared" si="12"/>
        <v>12.477771420618843</v>
      </c>
      <c r="S17" s="73">
        <f t="shared" si="12"/>
        <v>12.569244325894879</v>
      </c>
      <c r="T17" s="73"/>
      <c r="V17" t="e">
        <f>MIN(B17:K17)/T17</f>
        <v>#DIV/0!</v>
      </c>
    </row>
    <row r="18" spans="1:22">
      <c r="A18" s="24" t="s">
        <v>1104</v>
      </c>
      <c r="B18" s="73"/>
      <c r="C18" s="73">
        <f>C16/C15</f>
        <v>15.649029344150986</v>
      </c>
      <c r="D18" s="73">
        <f t="shared" ref="D18:S18" si="13">D16/D15</f>
        <v>15.872804500814555</v>
      </c>
      <c r="E18" s="73">
        <f t="shared" si="13"/>
        <v>16.04570001077354</v>
      </c>
      <c r="F18" s="73">
        <f t="shared" si="13"/>
        <v>15.627219803989641</v>
      </c>
      <c r="G18" s="73">
        <f t="shared" si="13"/>
        <v>15.669999898108211</v>
      </c>
      <c r="H18" s="73">
        <f t="shared" si="13"/>
        <v>15.724542293108385</v>
      </c>
      <c r="I18" s="73">
        <f t="shared" si="13"/>
        <v>15.731169740424891</v>
      </c>
      <c r="J18" s="73">
        <f t="shared" si="13"/>
        <v>15.649907537666468</v>
      </c>
      <c r="K18" s="73">
        <f t="shared" si="13"/>
        <v>15.370547265855414</v>
      </c>
      <c r="L18" s="73">
        <f t="shared" si="13"/>
        <v>15.091402193171131</v>
      </c>
      <c r="M18" s="73">
        <f t="shared" si="13"/>
        <v>15.061355360110598</v>
      </c>
      <c r="N18" s="73">
        <f t="shared" si="13"/>
        <v>14.956412397552304</v>
      </c>
      <c r="O18" s="73">
        <f t="shared" si="13"/>
        <v>14.954916080609893</v>
      </c>
      <c r="P18" s="73">
        <f t="shared" si="13"/>
        <v>15.104433255602954</v>
      </c>
      <c r="Q18" s="73">
        <f t="shared" si="13"/>
        <v>15.259380530973448</v>
      </c>
      <c r="R18" s="73">
        <f t="shared" si="13"/>
        <v>15.044424299123229</v>
      </c>
      <c r="S18" s="73">
        <f t="shared" si="13"/>
        <v>15.046069129216383</v>
      </c>
      <c r="T18" s="73"/>
      <c r="V18" t="e">
        <f>MIN(B18:K18)/T18</f>
        <v>#DIV/0!</v>
      </c>
    </row>
    <row r="19" spans="1:22">
      <c r="A19" s="21" t="s">
        <v>1110</v>
      </c>
      <c r="C19" s="73">
        <f>'Derived data'!C8/SUM(Positions!C55:C59)</f>
        <v>19.616597684287736</v>
      </c>
      <c r="D19" s="73">
        <f>'Derived data'!D8/SUM(Positions!D55:D59)</f>
        <v>19.673097590751155</v>
      </c>
      <c r="E19" s="73">
        <f>'Derived data'!E8/SUM(Positions!E55:E59)</f>
        <v>19.94777705394235</v>
      </c>
      <c r="F19" s="73">
        <f>'Derived data'!F8/SUM(Positions!F55:F59)</f>
        <v>19.235275043670178</v>
      </c>
      <c r="G19" s="73">
        <f>'Derived data'!G8/SUM(Positions!G55:G59)</f>
        <v>19.19730139060994</v>
      </c>
      <c r="H19" s="73">
        <f>'Derived data'!H8/SUM(Positions!H55:H59)</f>
        <v>19.646639207588425</v>
      </c>
      <c r="I19" s="73">
        <f>'Derived data'!I8/SUM(Positions!I55:I59)</f>
        <v>20.01750772399588</v>
      </c>
      <c r="J19" s="73">
        <f>'Derived data'!J8/SUM(Positions!J55:J59)</f>
        <v>20.068567304222306</v>
      </c>
      <c r="K19" s="73">
        <f>'Derived data'!K8/SUM(Positions!K55:K59)</f>
        <v>19.930171866550676</v>
      </c>
      <c r="L19" s="73">
        <f>'Derived data'!L8/SUM(Positions!L55:L59)</f>
        <v>19.603121279630347</v>
      </c>
      <c r="M19" s="73">
        <f>'Derived data'!M8/SUM(Positions!M55:M59)</f>
        <v>19.505039724890313</v>
      </c>
      <c r="N19" s="73">
        <f>'Derived data'!N8/SUM(Positions!N55:N59)</f>
        <v>19.862412496524044</v>
      </c>
      <c r="O19" s="73">
        <f>'Derived data'!O8/SUM(Positions!O55:O59)</f>
        <v>19.813205750852624</v>
      </c>
      <c r="P19" s="73">
        <f>'Derived data'!P8/SUM(Positions!P55:P59)</f>
        <v>20.830056072869358</v>
      </c>
      <c r="Q19" s="73">
        <f>'Derived data'!Q8/SUM(Positions!Q55:Q59)</f>
        <v>21.272833799882822</v>
      </c>
      <c r="R19" s="73">
        <f>'Derived data'!R8/SUM(Positions!R55:R59)</f>
        <v>21.511403169694628</v>
      </c>
      <c r="S19" s="73">
        <f>'Derived data'!S8/SUM(Positions!S55:S59)</f>
        <v>21.390877894566188</v>
      </c>
      <c r="T19" s="73"/>
    </row>
    <row r="20" spans="1:22">
      <c r="A20" s="24" t="s">
        <v>850</v>
      </c>
      <c r="B20" s="52"/>
      <c r="C20" s="52"/>
      <c r="D20" s="52">
        <f>'Teacher pay scales'!AC15</f>
        <v>63414</v>
      </c>
      <c r="E20" s="52">
        <v>61253</v>
      </c>
      <c r="F20" s="52">
        <v>59590</v>
      </c>
      <c r="G20" s="43">
        <v>58303</v>
      </c>
      <c r="H20" s="43">
        <v>58099</v>
      </c>
      <c r="I20" s="43">
        <v>57524</v>
      </c>
      <c r="J20" s="43">
        <v>59191</v>
      </c>
      <c r="K20" s="43">
        <v>60911</v>
      </c>
      <c r="L20" s="43">
        <v>59717</v>
      </c>
      <c r="M20" s="43">
        <v>58067</v>
      </c>
      <c r="N20" s="43">
        <v>56259</v>
      </c>
      <c r="O20" s="43">
        <v>54002</v>
      </c>
      <c r="P20" s="43">
        <v>52430</v>
      </c>
      <c r="Q20" s="43">
        <v>50874</v>
      </c>
      <c r="R20" s="43">
        <v>49877</v>
      </c>
      <c r="S20" s="43">
        <v>48252</v>
      </c>
      <c r="T20" s="76">
        <v>45953</v>
      </c>
    </row>
    <row r="21" spans="1:22">
      <c r="A21" s="24" t="s">
        <v>1091</v>
      </c>
      <c r="B21" s="43"/>
      <c r="C21" s="43"/>
      <c r="D21" s="43">
        <f>Positions!C6</f>
        <v>23995.899999999998</v>
      </c>
      <c r="E21" s="43">
        <f>Positions!D6</f>
        <v>23868.999999999996</v>
      </c>
      <c r="F21" s="43">
        <v>23843.399999999998</v>
      </c>
      <c r="G21" s="43">
        <v>23470.699999999997</v>
      </c>
      <c r="H21">
        <v>22780.1</v>
      </c>
      <c r="I21">
        <v>22149.7</v>
      </c>
      <c r="J21">
        <v>22074.5</v>
      </c>
      <c r="K21">
        <v>22311.200000000001</v>
      </c>
      <c r="L21" s="86">
        <v>22469.1</v>
      </c>
      <c r="M21" s="86">
        <v>22206.7</v>
      </c>
      <c r="N21" s="86">
        <v>22074.5</v>
      </c>
      <c r="O21" s="86">
        <v>21716.1</v>
      </c>
      <c r="P21" s="86">
        <v>21296.9</v>
      </c>
      <c r="Q21" s="86">
        <v>20776.3</v>
      </c>
      <c r="R21" s="86">
        <v>20537.5</v>
      </c>
      <c r="S21" s="86">
        <v>19826.900000000001</v>
      </c>
      <c r="T21">
        <v>18766.599999999999</v>
      </c>
    </row>
    <row r="22" spans="1:22">
      <c r="A22" s="24" t="s">
        <v>851</v>
      </c>
      <c r="D22" s="38">
        <f t="shared" ref="D22:T22" si="14">D15/D21</f>
        <v>0.63184544026271161</v>
      </c>
      <c r="E22" s="38">
        <f t="shared" si="14"/>
        <v>0.62219615400728989</v>
      </c>
      <c r="F22" s="38">
        <f t="shared" si="14"/>
        <v>0.62821577459590494</v>
      </c>
      <c r="G22" s="38">
        <f t="shared" si="14"/>
        <v>0.62722884276992175</v>
      </c>
      <c r="H22" s="38">
        <f t="shared" si="14"/>
        <v>0.62863200776116002</v>
      </c>
      <c r="I22" s="38">
        <f t="shared" si="14"/>
        <v>0.62840128760208935</v>
      </c>
      <c r="J22" s="38">
        <f t="shared" si="14"/>
        <v>0.62149086049514135</v>
      </c>
      <c r="K22" s="38">
        <f t="shared" si="14"/>
        <v>0.61547115350138049</v>
      </c>
      <c r="L22" s="38">
        <f t="shared" si="14"/>
        <v>0.6104071814180364</v>
      </c>
      <c r="M22" s="38">
        <f t="shared" si="14"/>
        <v>0.6123647367686329</v>
      </c>
      <c r="N22" s="38">
        <f t="shared" si="14"/>
        <v>0.61519400212915343</v>
      </c>
      <c r="O22" s="38">
        <f t="shared" si="14"/>
        <v>0.62335318035927267</v>
      </c>
      <c r="P22" s="38">
        <f t="shared" si="14"/>
        <v>0.62622729129591648</v>
      </c>
      <c r="Q22" s="38">
        <f t="shared" si="14"/>
        <v>0.62927951560191198</v>
      </c>
      <c r="R22" s="38">
        <f t="shared" si="14"/>
        <v>0.62976506390748632</v>
      </c>
      <c r="S22" s="38">
        <f t="shared" si="14"/>
        <v>0.63533381416156831</v>
      </c>
      <c r="T22" s="38">
        <f t="shared" si="14"/>
        <v>0</v>
      </c>
    </row>
    <row r="23" spans="1:22">
      <c r="A23" s="24" t="s">
        <v>1108</v>
      </c>
      <c r="C23" s="38">
        <f>SUM(Positions!C55:C59)/Positions!C54</f>
        <v>0.62499590692678975</v>
      </c>
      <c r="D23" s="38">
        <f>SUM(Positions!D55:D59)/Positions!D54</f>
        <v>0.63211249398154568</v>
      </c>
      <c r="E23" s="38">
        <f>SUM(Positions!E55:E59)/Positions!E54</f>
        <v>0.63050123895712129</v>
      </c>
      <c r="F23" s="38">
        <f>SUM(Positions!F55:F59)/Positions!F54</f>
        <v>0.63825540096669964</v>
      </c>
      <c r="G23" s="38">
        <f>SUM(Positions!G55:G59)/Positions!G54</f>
        <v>0.64136806711272631</v>
      </c>
      <c r="H23" s="38">
        <f>SUM(Positions!H55:H59)/Positions!H54</f>
        <v>0.63238200317032456</v>
      </c>
      <c r="I23" s="38">
        <f>SUM(Positions!I55:I59)/Positions!I54</f>
        <v>0.62785133882706246</v>
      </c>
      <c r="J23" s="38">
        <f>SUM(Positions!J55:J59)/Positions!J54</f>
        <v>0.62614165652265819</v>
      </c>
      <c r="K23" s="38">
        <f>SUM(Positions!K55:K59)/Positions!K54</f>
        <v>0.61947727554089382</v>
      </c>
      <c r="L23" s="38">
        <f>SUM(Positions!L55:L59)/Positions!L54</f>
        <v>0.61855737752728701</v>
      </c>
      <c r="M23" s="38">
        <f>SUM(Positions!M55:M59)/Positions!M54</f>
        <v>0.62013736708190548</v>
      </c>
      <c r="N23" s="38">
        <f>SUM(Positions!N55:N59)/Positions!N54</f>
        <v>0.60906031619796608</v>
      </c>
      <c r="O23" s="38">
        <f>SUM(Positions!O55:O59)/Positions!O54</f>
        <v>0.61298829856391468</v>
      </c>
      <c r="P23" s="38">
        <f>SUM(Positions!P55:P59)/Positions!P54</f>
        <v>0.5910457609453611</v>
      </c>
      <c r="Q23" s="38">
        <f>SUM(Positions!Q55:Q59)/Positions!Q54</f>
        <v>0.58745917501013445</v>
      </c>
      <c r="R23" s="38">
        <f>SUM(Positions!R55:R59)/Positions!R54</f>
        <v>0.58005381249130195</v>
      </c>
      <c r="S23" s="38">
        <f>SUM(Positions!S55:S59)/Positions!S54</f>
        <v>0.58759833924758076</v>
      </c>
    </row>
    <row r="24" spans="1:22">
      <c r="A24" s="24" t="s">
        <v>1109</v>
      </c>
      <c r="C24" s="38">
        <f>Positions!C60/Positions!C54</f>
        <v>0.20257765378494669</v>
      </c>
      <c r="D24" s="38">
        <f>Positions!D60/Positions!D54</f>
        <v>0.20244431693015957</v>
      </c>
      <c r="E24" s="38">
        <f>Positions!E60/Positions!E54</f>
        <v>0.20399698340874811</v>
      </c>
      <c r="F24" s="38">
        <f>Positions!F60/Positions!F54</f>
        <v>0.20023633401874655</v>
      </c>
      <c r="G24" s="38">
        <f>Positions!G60/Positions!G54</f>
        <v>0.2002037835818361</v>
      </c>
      <c r="H24" s="38">
        <f>Positions!H60/Positions!H54</f>
        <v>0.20100137566950413</v>
      </c>
      <c r="I24" s="38">
        <f>Positions!I60/Positions!I54</f>
        <v>0.20217114858214372</v>
      </c>
      <c r="J24" s="38">
        <f>Positions!J60/Positions!J54</f>
        <v>0.2019957577392103</v>
      </c>
      <c r="K24" s="38">
        <f>Positions!K60/Positions!K54</f>
        <v>0.2007733816878946</v>
      </c>
      <c r="L24" s="38">
        <f>Positions!L60/Positions!L54</f>
        <v>0.19826033699590964</v>
      </c>
      <c r="M24" s="38">
        <f>Positions!M60/Positions!M54</f>
        <v>0.20041033635815453</v>
      </c>
      <c r="N24" s="38">
        <f>Positions!N60/Positions!N54</f>
        <v>0.20144181559782329</v>
      </c>
      <c r="O24" s="38">
        <f>Positions!O60/Positions!O54</f>
        <v>0.20346019738786122</v>
      </c>
      <c r="P24" s="38">
        <f>Positions!P60/Positions!P54</f>
        <v>0.20682777598656332</v>
      </c>
      <c r="Q24" s="38">
        <f>Positions!Q60/Positions!Q54</f>
        <v>0.20666814541727535</v>
      </c>
      <c r="R24" s="38">
        <f>Positions!R60/Positions!R54</f>
        <v>0.21150783219162195</v>
      </c>
      <c r="S24" s="38">
        <f>Positions!S60/Positions!S54</f>
        <v>0.20194177840228</v>
      </c>
    </row>
    <row r="25" spans="1:22">
      <c r="A25" s="24" t="s">
        <v>1092</v>
      </c>
      <c r="B25" s="29"/>
      <c r="C25" s="29">
        <f>D25+(1162547-$E$25)/5</f>
        <v>1140249.7999999998</v>
      </c>
      <c r="D25" s="29">
        <f>E25+(1162547-$E$25)/5</f>
        <v>1132817.3999999999</v>
      </c>
      <c r="E25" s="29">
        <v>1125385</v>
      </c>
      <c r="F25" s="29">
        <v>1116246</v>
      </c>
      <c r="G25" s="29">
        <v>1111620</v>
      </c>
      <c r="H25" s="29">
        <v>1109725</v>
      </c>
      <c r="I25" s="29">
        <v>1085453.8</v>
      </c>
      <c r="J25" s="29">
        <v>1081004</v>
      </c>
      <c r="K25" s="29">
        <v>1051990</v>
      </c>
      <c r="L25" s="29">
        <v>1045694</v>
      </c>
      <c r="M25" s="29">
        <v>1041507</v>
      </c>
      <c r="N25" s="29">
        <v>1037311</v>
      </c>
      <c r="O25" s="29">
        <v>1033646</v>
      </c>
      <c r="P25" s="29">
        <v>1022298</v>
      </c>
      <c r="Q25" s="29">
        <v>1012090</v>
      </c>
      <c r="R25" s="29">
        <v>1004435</v>
      </c>
      <c r="S25" s="29">
        <v>984366</v>
      </c>
      <c r="T25" s="29">
        <v>969749</v>
      </c>
    </row>
    <row r="26" spans="1:22">
      <c r="A26" s="24" t="s">
        <v>1079</v>
      </c>
      <c r="B26" s="29"/>
      <c r="C26" s="29"/>
      <c r="D26" s="29"/>
      <c r="E26" s="29"/>
      <c r="F26" s="163">
        <v>0.518566412726432</v>
      </c>
      <c r="G26" s="163">
        <v>0.52540135322974846</v>
      </c>
      <c r="H26" s="163">
        <v>0.53305554611917372</v>
      </c>
      <c r="I26" s="163">
        <v>0.53882103258677272</v>
      </c>
      <c r="J26" s="48">
        <v>0.54561842128267679</v>
      </c>
      <c r="K26" s="163">
        <v>0.56440745755851218</v>
      </c>
      <c r="L26" s="163">
        <v>0.58174316607275467</v>
      </c>
      <c r="M26" s="163">
        <v>0.59062144577383024</v>
      </c>
      <c r="N26" s="163">
        <v>0.59938264701719934</v>
      </c>
      <c r="O26" s="48">
        <v>0.60404129409526475</v>
      </c>
      <c r="P26" s="29"/>
      <c r="Q26" s="29"/>
      <c r="R26" s="29"/>
      <c r="S26" s="29"/>
      <c r="T26" s="48">
        <v>0.64400000000000002</v>
      </c>
    </row>
    <row r="27" spans="1:22">
      <c r="A27" s="24" t="s">
        <v>1093</v>
      </c>
      <c r="B27" s="29"/>
      <c r="C27" s="29"/>
      <c r="D27" s="29"/>
      <c r="E27" s="163">
        <v>9.6000000000000002E-2</v>
      </c>
      <c r="F27" s="163">
        <v>9.2216699573992256E-2</v>
      </c>
      <c r="G27" s="163">
        <v>9.32918569240727E-2</v>
      </c>
      <c r="H27" s="163">
        <v>8.7332223614833518E-2</v>
      </c>
      <c r="I27" s="163">
        <v>9.2158387632507555E-2</v>
      </c>
      <c r="J27" s="48">
        <v>8.9552911773988886E-2</v>
      </c>
      <c r="K27" s="163">
        <v>9.0147985023202468E-2</v>
      </c>
      <c r="L27" s="163">
        <v>9.1631849439871099E-2</v>
      </c>
      <c r="M27" s="163">
        <v>9.2238386681989748E-2</v>
      </c>
      <c r="N27" s="163">
        <v>9.2303078946561062E-2</v>
      </c>
      <c r="O27" s="48">
        <v>9.1139392604311642E-2</v>
      </c>
      <c r="P27" s="29"/>
      <c r="Q27" s="29"/>
      <c r="R27" s="29"/>
      <c r="S27" s="29"/>
      <c r="T27" s="48">
        <v>8.4000000000000005E-2</v>
      </c>
    </row>
    <row r="28" spans="1:22">
      <c r="A28" s="24" t="s">
        <v>1094</v>
      </c>
      <c r="B28" s="29"/>
      <c r="C28" s="29"/>
      <c r="D28" s="29"/>
      <c r="E28" s="29"/>
      <c r="F28" s="163">
        <v>0.18766142317883008</v>
      </c>
      <c r="G28" s="163">
        <v>0.18212718095999378</v>
      </c>
      <c r="H28" s="163">
        <v>0.17896177550192116</v>
      </c>
      <c r="I28" s="163">
        <v>0.17402870194386805</v>
      </c>
      <c r="J28" s="48">
        <v>0.17599377221661422</v>
      </c>
      <c r="K28" s="163">
        <v>0.16414146038232275</v>
      </c>
      <c r="L28" s="163">
        <v>0.1574536443343951</v>
      </c>
      <c r="M28" s="163">
        <v>0.16025977959714563</v>
      </c>
      <c r="N28" s="163">
        <v>0.15732505445631273</v>
      </c>
      <c r="O28" s="48">
        <v>0.15730907488810342</v>
      </c>
      <c r="P28" s="29"/>
      <c r="Q28" s="29"/>
      <c r="R28" s="29"/>
      <c r="S28" s="29"/>
      <c r="T28" s="48">
        <v>0.13</v>
      </c>
    </row>
    <row r="29" spans="1:22">
      <c r="A29" s="24" t="s">
        <v>1078</v>
      </c>
      <c r="B29" s="29"/>
      <c r="C29" s="29"/>
      <c r="D29" s="29"/>
      <c r="E29" s="29"/>
      <c r="F29" s="163">
        <v>0.16386441595797238</v>
      </c>
      <c r="G29" s="163">
        <v>0.16213114232256101</v>
      </c>
      <c r="H29" s="163">
        <v>0.16084183650663952</v>
      </c>
      <c r="I29" s="163">
        <v>0.15797879879203264</v>
      </c>
      <c r="J29" s="48">
        <v>0.15607553947897526</v>
      </c>
      <c r="K29" s="163">
        <v>0.15140250866177399</v>
      </c>
      <c r="L29" s="163">
        <v>0.1410013966287863</v>
      </c>
      <c r="M29" s="163">
        <v>0.13579235053813893</v>
      </c>
      <c r="N29" s="163">
        <v>0.12940165848048826</v>
      </c>
      <c r="O29" s="48">
        <v>0.12584485676235868</v>
      </c>
      <c r="P29" s="29"/>
      <c r="Q29" s="29"/>
      <c r="R29" s="29"/>
      <c r="S29" s="29"/>
      <c r="T29" s="48">
        <v>0.11</v>
      </c>
    </row>
    <row r="30" spans="1:22">
      <c r="A30" s="24" t="s">
        <v>1080</v>
      </c>
      <c r="B30" s="29"/>
      <c r="C30" s="29"/>
      <c r="D30" s="29"/>
      <c r="E30" s="29"/>
      <c r="F30" s="163">
        <v>3.7691048562773277E-2</v>
      </c>
      <c r="G30" s="163">
        <v>3.7048466563624038E-2</v>
      </c>
      <c r="H30" s="163">
        <v>3.9808618257432093E-2</v>
      </c>
      <c r="I30" s="163">
        <v>3.7013079044819097E-2</v>
      </c>
      <c r="J30" s="48">
        <v>3.2759355247744759E-2</v>
      </c>
      <c r="K30" s="163">
        <v>2.990058837418863E-2</v>
      </c>
      <c r="L30" s="163">
        <v>2.8169943524192775E-2</v>
      </c>
      <c r="M30" s="163">
        <v>2.1088037408895532E-2</v>
      </c>
      <c r="N30" s="163">
        <v>2.1587561099438601E-2</v>
      </c>
      <c r="O30" s="48">
        <v>2.1665381649961457E-2</v>
      </c>
      <c r="P30" s="29"/>
      <c r="Q30" s="29"/>
      <c r="R30" s="29"/>
      <c r="S30" s="29"/>
      <c r="T30" s="48">
        <f>1-SUM(T26:T29)</f>
        <v>3.2000000000000028E-2</v>
      </c>
    </row>
    <row r="31" spans="1:22">
      <c r="A31" s="24" t="s">
        <v>1095</v>
      </c>
      <c r="B31" s="29"/>
      <c r="C31" s="29"/>
      <c r="D31" s="29"/>
      <c r="E31" s="29"/>
      <c r="F31" s="48"/>
      <c r="G31" s="48"/>
      <c r="H31" s="48"/>
      <c r="I31" s="48"/>
      <c r="J31" s="48"/>
      <c r="K31" s="29"/>
      <c r="L31" s="29"/>
      <c r="M31" s="29"/>
      <c r="N31" s="29"/>
      <c r="O31" s="29"/>
      <c r="P31" s="29"/>
      <c r="Q31" s="29"/>
      <c r="R31" s="29"/>
      <c r="S31" s="29"/>
      <c r="T31" s="48"/>
    </row>
    <row r="32" spans="1:22">
      <c r="A32" s="24" t="s">
        <v>1096</v>
      </c>
      <c r="B32" s="29"/>
      <c r="C32" s="29"/>
      <c r="D32" s="29"/>
      <c r="E32" s="29"/>
      <c r="F32" s="48">
        <v>8.3573015229257433E-2</v>
      </c>
      <c r="G32" s="48">
        <v>7.1372601697002255E-2</v>
      </c>
      <c r="H32" s="48">
        <v>7.4609497890663193E-2</v>
      </c>
      <c r="I32" s="48">
        <v>9.6718473581510478E-2</v>
      </c>
      <c r="J32" s="48">
        <v>7.1069112270436316E-2</v>
      </c>
      <c r="K32" s="163">
        <v>6.6394872498480959E-2</v>
      </c>
      <c r="L32" s="163">
        <v>5.901440622758046E-2</v>
      </c>
      <c r="M32" s="163">
        <v>6.3090315739286973E-2</v>
      </c>
      <c r="N32" s="163">
        <v>5.8618263907380841E-2</v>
      </c>
      <c r="O32" s="48">
        <v>6.6680084770846401E-2</v>
      </c>
      <c r="P32" s="29"/>
      <c r="Q32" s="29"/>
      <c r="R32" s="29"/>
      <c r="S32" s="29"/>
      <c r="T32" s="48"/>
    </row>
    <row r="33" spans="1:22">
      <c r="A33" s="24" t="s">
        <v>1098</v>
      </c>
      <c r="B33" s="29"/>
      <c r="C33" s="29"/>
      <c r="D33" s="29"/>
      <c r="E33" s="29"/>
      <c r="F33" s="48">
        <v>5.667159053278216E-2</v>
      </c>
      <c r="G33" s="48">
        <v>4.4895187349348137E-2</v>
      </c>
      <c r="H33" s="48">
        <v>5.0760536260504044E-2</v>
      </c>
      <c r="I33" s="48">
        <v>5.4890780292619221E-2</v>
      </c>
      <c r="J33" s="163">
        <v>4.1105211965568808E-2</v>
      </c>
      <c r="K33" s="163">
        <v>3.8746349399243415E-2</v>
      </c>
      <c r="L33" s="163">
        <v>3.6926781399721276E-2</v>
      </c>
      <c r="M33" s="163">
        <v>3.932561179110735E-2</v>
      </c>
      <c r="N33" s="163">
        <v>3.2490630377845164E-2</v>
      </c>
      <c r="O33" s="163">
        <v>6.2705958032905934E-2</v>
      </c>
      <c r="P33" s="29"/>
      <c r="Q33" s="29"/>
      <c r="R33" s="29"/>
      <c r="S33" s="29"/>
      <c r="T33" s="48"/>
    </row>
    <row r="34" spans="1:22">
      <c r="A34" s="24" t="s">
        <v>1097</v>
      </c>
      <c r="B34" s="29"/>
      <c r="C34" s="29"/>
      <c r="D34" s="29"/>
      <c r="E34" s="29"/>
      <c r="F34" s="48">
        <v>3.8205232196875265E-2</v>
      </c>
      <c r="G34" s="48">
        <v>2.0686412787964268E-2</v>
      </c>
      <c r="H34" s="48">
        <v>2.5744142942155275E-2</v>
      </c>
      <c r="I34" s="48">
        <v>2.8707661703630025E-2</v>
      </c>
      <c r="J34" s="48">
        <v>3.1463248665003288E-2</v>
      </c>
      <c r="K34" s="163">
        <v>2.0086634391109196E-2</v>
      </c>
      <c r="L34" s="163">
        <v>2.0520834192319426E-2</v>
      </c>
      <c r="M34" s="163">
        <v>1.6798053447978235E-2</v>
      </c>
      <c r="N34" s="163">
        <v>1.5102678340772065E-2</v>
      </c>
      <c r="O34" s="48">
        <v>2.5206303351763496E-2</v>
      </c>
      <c r="P34" s="29"/>
      <c r="Q34" s="29"/>
      <c r="R34" s="29"/>
      <c r="S34" s="29"/>
      <c r="T34" s="48"/>
    </row>
    <row r="35" spans="1:22">
      <c r="A35" s="24" t="s">
        <v>852</v>
      </c>
      <c r="B35" s="89"/>
      <c r="C35" s="89">
        <f>D35+(430138-$E$35)/5</f>
        <v>419374</v>
      </c>
      <c r="D35" s="89">
        <f>E35+(430138-$E$35)/5</f>
        <v>415786</v>
      </c>
      <c r="E35" s="89">
        <v>412198</v>
      </c>
      <c r="F35" s="88">
        <v>409979</v>
      </c>
      <c r="G35" s="87">
        <v>405126.8</v>
      </c>
      <c r="H35" s="87">
        <v>402213.2</v>
      </c>
      <c r="I35" s="87">
        <v>399299.6</v>
      </c>
      <c r="J35" s="29">
        <v>396386</v>
      </c>
      <c r="K35">
        <v>394556</v>
      </c>
      <c r="L35">
        <v>391700</v>
      </c>
      <c r="M35">
        <v>391138</v>
      </c>
      <c r="N35">
        <v>388820</v>
      </c>
      <c r="O35">
        <v>385634</v>
      </c>
      <c r="P35">
        <v>378639</v>
      </c>
      <c r="Q35">
        <v>373902</v>
      </c>
      <c r="R35">
        <v>370551</v>
      </c>
      <c r="S35">
        <v>363333</v>
      </c>
      <c r="T35">
        <v>358960</v>
      </c>
    </row>
    <row r="36" spans="1:22">
      <c r="A36" s="24" t="s">
        <v>1022</v>
      </c>
      <c r="B36" s="89"/>
      <c r="C36" s="89"/>
      <c r="D36" s="89"/>
      <c r="E36" s="89"/>
      <c r="F36" s="52">
        <v>142474</v>
      </c>
      <c r="G36" s="52">
        <v>139967</v>
      </c>
      <c r="H36" s="87"/>
      <c r="I36" s="87"/>
      <c r="J36" s="29"/>
    </row>
    <row r="37" spans="1:22">
      <c r="A37" s="24" t="s">
        <v>855</v>
      </c>
      <c r="C37">
        <f>D37*1.01</f>
        <v>250.38425626472497</v>
      </c>
      <c r="D37">
        <f>E37*1.01</f>
        <v>247.90520422249998</v>
      </c>
      <c r="E37">
        <f>'Revenue detail'!E4</f>
        <v>245.45069724999996</v>
      </c>
      <c r="F37">
        <f>G37*1.02</f>
        <v>237.45769177291334</v>
      </c>
      <c r="G37" s="73">
        <v>232.80165860089542</v>
      </c>
      <c r="H37" s="73">
        <v>229.5939166666667</v>
      </c>
      <c r="I37" s="73">
        <v>224.93916666666667</v>
      </c>
      <c r="J37" s="73">
        <v>218.05600000000001</v>
      </c>
      <c r="K37">
        <v>214.53700000000001</v>
      </c>
      <c r="L37">
        <v>215.303</v>
      </c>
      <c r="M37">
        <v>207.34200000000001</v>
      </c>
      <c r="N37">
        <v>201.6</v>
      </c>
      <c r="O37">
        <v>195.3</v>
      </c>
      <c r="P37">
        <v>188.9</v>
      </c>
      <c r="Q37">
        <v>184</v>
      </c>
      <c r="R37">
        <v>179.9</v>
      </c>
      <c r="S37">
        <v>177.1</v>
      </c>
      <c r="T37">
        <v>172.2</v>
      </c>
    </row>
    <row r="38" spans="1:22">
      <c r="A38" s="24"/>
      <c r="G38" s="73"/>
      <c r="H38" s="73"/>
      <c r="I38" s="73"/>
      <c r="J38" s="73"/>
    </row>
    <row r="39" spans="1:22">
      <c r="A39" s="24" t="s">
        <v>1020</v>
      </c>
    </row>
    <row r="40" spans="1:22">
      <c r="A40" s="44" t="s">
        <v>1021</v>
      </c>
      <c r="B40" s="44"/>
    </row>
    <row r="41" spans="1:22">
      <c r="A41" s="44" t="s">
        <v>860</v>
      </c>
    </row>
    <row r="42" spans="1:22">
      <c r="A42" s="24" t="s">
        <v>977</v>
      </c>
    </row>
    <row r="43" spans="1:22">
      <c r="A43" s="24"/>
      <c r="B43" s="24" t="s">
        <v>1067</v>
      </c>
      <c r="C43">
        <f t="shared" ref="C43:J43" si="15">C6</f>
        <v>2017</v>
      </c>
      <c r="D43">
        <f t="shared" si="15"/>
        <v>2016</v>
      </c>
      <c r="E43">
        <f t="shared" si="15"/>
        <v>2015</v>
      </c>
      <c r="F43">
        <f t="shared" si="15"/>
        <v>2014</v>
      </c>
      <c r="G43">
        <f t="shared" si="15"/>
        <v>2013</v>
      </c>
      <c r="H43">
        <f t="shared" si="15"/>
        <v>2012</v>
      </c>
      <c r="I43">
        <f t="shared" si="15"/>
        <v>2011</v>
      </c>
      <c r="J43">
        <f t="shared" si="15"/>
        <v>2010</v>
      </c>
      <c r="K43">
        <f t="shared" ref="K43" si="16">K6</f>
        <v>2009</v>
      </c>
      <c r="L43">
        <f t="shared" ref="L43:T43" si="17">L6</f>
        <v>2008</v>
      </c>
      <c r="M43">
        <f t="shared" si="17"/>
        <v>2007</v>
      </c>
      <c r="N43">
        <f t="shared" si="17"/>
        <v>2006</v>
      </c>
      <c r="O43">
        <f t="shared" si="17"/>
        <v>2005</v>
      </c>
      <c r="P43">
        <f t="shared" si="17"/>
        <v>2004</v>
      </c>
      <c r="Q43">
        <f t="shared" si="17"/>
        <v>2003</v>
      </c>
      <c r="R43">
        <f t="shared" si="17"/>
        <v>2002</v>
      </c>
      <c r="S43">
        <f t="shared" si="17"/>
        <v>2001</v>
      </c>
      <c r="T43">
        <f t="shared" si="17"/>
        <v>2000</v>
      </c>
      <c r="U43" s="24"/>
      <c r="V43" s="24"/>
    </row>
    <row r="44" spans="1:22">
      <c r="A44" s="24" t="s">
        <v>1074</v>
      </c>
      <c r="B44" s="46">
        <f t="shared" ref="B44:B50" si="18">(C44/$T44)^(1/(C$43-$T$43))-1</f>
        <v>1.1351793430947721E-2</v>
      </c>
      <c r="C44" s="43">
        <f>C8</f>
        <v>187211</v>
      </c>
      <c r="D44" s="43">
        <f t="shared" ref="D44:T44" si="19">D8</f>
        <v>188545</v>
      </c>
      <c r="E44" s="43">
        <f t="shared" si="19"/>
        <v>186785</v>
      </c>
      <c r="F44" s="43">
        <f t="shared" si="19"/>
        <v>183895</v>
      </c>
      <c r="G44" s="43">
        <f t="shared" si="19"/>
        <v>181259</v>
      </c>
      <c r="H44" s="43">
        <f t="shared" si="19"/>
        <v>177918</v>
      </c>
      <c r="I44" s="43">
        <f t="shared" si="19"/>
        <v>174933</v>
      </c>
      <c r="J44" s="43">
        <f t="shared" si="19"/>
        <v>172391</v>
      </c>
      <c r="K44" s="43">
        <f t="shared" si="19"/>
        <v>169538</v>
      </c>
      <c r="L44" s="43">
        <f t="shared" si="19"/>
        <v>166307</v>
      </c>
      <c r="M44" s="43">
        <f t="shared" si="19"/>
        <v>164486</v>
      </c>
      <c r="N44" s="43">
        <f t="shared" si="19"/>
        <v>164284</v>
      </c>
      <c r="O44" s="43">
        <f t="shared" si="19"/>
        <v>164408</v>
      </c>
      <c r="P44" s="43">
        <f t="shared" si="19"/>
        <v>164195</v>
      </c>
      <c r="Q44" s="43">
        <f t="shared" si="19"/>
        <v>163386</v>
      </c>
      <c r="R44" s="43">
        <f t="shared" si="19"/>
        <v>161385</v>
      </c>
      <c r="S44" s="43">
        <f t="shared" si="19"/>
        <v>158331</v>
      </c>
      <c r="T44" s="43">
        <f t="shared" si="19"/>
        <v>154523</v>
      </c>
      <c r="U44" s="24"/>
      <c r="V44" s="24"/>
    </row>
    <row r="45" spans="1:22">
      <c r="A45" s="24" t="s">
        <v>943</v>
      </c>
      <c r="B45" s="46">
        <f t="shared" si="18"/>
        <v>1.6614536253642953E-2</v>
      </c>
      <c r="C45" s="43">
        <f t="shared" ref="C45:J45" si="20">C8+0.5*(C9+C11)*C8+1.6*C14*C8</f>
        <v>251371.81252751334</v>
      </c>
      <c r="D45" s="43">
        <f t="shared" si="20"/>
        <v>253163</v>
      </c>
      <c r="E45" s="43">
        <f t="shared" si="20"/>
        <v>250985.9</v>
      </c>
      <c r="F45" s="43">
        <f t="shared" si="20"/>
        <v>245944.5</v>
      </c>
      <c r="G45" s="43">
        <f t="shared" si="20"/>
        <v>242493.40350000001</v>
      </c>
      <c r="H45" s="43">
        <f t="shared" si="20"/>
        <v>235414.54400000002</v>
      </c>
      <c r="I45" s="43">
        <f t="shared" si="20"/>
        <v>227795.87099999998</v>
      </c>
      <c r="J45" s="43">
        <f t="shared" si="20"/>
        <v>221900.63399999999</v>
      </c>
      <c r="K45" s="43">
        <f t="shared" ref="K45" si="21">K8+0.5*(K9+K11)*K8+1.6*K14*K8</f>
        <v>218144.84299999999</v>
      </c>
      <c r="L45" s="43">
        <f t="shared" ref="L45:T45" si="22">L8+0.5*(L9+L11)*L8+1.6*L14*L8</f>
        <v>213156.65049999999</v>
      </c>
      <c r="M45" s="43">
        <f t="shared" si="22"/>
        <v>209831.94699999999</v>
      </c>
      <c r="N45" s="43">
        <f t="shared" si="22"/>
        <v>208484.69200000001</v>
      </c>
      <c r="O45" s="43">
        <f t="shared" si="22"/>
        <v>208598.32399999999</v>
      </c>
      <c r="P45" s="43">
        <f t="shared" si="22"/>
        <v>206649.91750000001</v>
      </c>
      <c r="Q45" s="43">
        <f t="shared" si="22"/>
        <v>207976.671</v>
      </c>
      <c r="R45" s="43">
        <f t="shared" si="22"/>
        <v>201608.1525</v>
      </c>
      <c r="S45" s="43">
        <f t="shared" si="22"/>
        <v>196031.25700000001</v>
      </c>
      <c r="T45" s="43">
        <f t="shared" si="22"/>
        <v>189958.71249999999</v>
      </c>
    </row>
    <row r="46" spans="1:22">
      <c r="A46" s="24" t="s">
        <v>979</v>
      </c>
      <c r="B46" s="46">
        <f t="shared" si="18"/>
        <v>4.4667962270373396E-2</v>
      </c>
      <c r="C46" s="144">
        <f>'Budget summary'!B21/1000000</f>
        <v>2673.0591420000001</v>
      </c>
      <c r="D46" s="144">
        <f>'Budget summary'!C21/1000000</f>
        <v>2551.6160610000002</v>
      </c>
      <c r="E46" s="144">
        <f>'Budget summary'!D21/1000000</f>
        <v>2466.2831719999999</v>
      </c>
      <c r="F46" s="144">
        <f>'Budget summary'!E21/1000000</f>
        <v>2440.2259610000001</v>
      </c>
      <c r="G46" s="144">
        <f>'Budget summary'!F21/1000000</f>
        <v>2385.6246259999998</v>
      </c>
      <c r="H46" s="144">
        <f>'Budget summary'!G21/1000000</f>
        <v>2214.362709</v>
      </c>
      <c r="I46" s="144">
        <f>'Budget summary'!H21/1000000</f>
        <v>2122.7711829999998</v>
      </c>
      <c r="J46" s="144">
        <f>'Budget summary'!I21/1000000</f>
        <v>2096.962301</v>
      </c>
      <c r="K46" s="144">
        <f>'Budget summary'!J21/1000000</f>
        <v>2176.6583569999998</v>
      </c>
      <c r="L46" s="144">
        <f>'Budget summary'!K21/1000000</f>
        <v>2144.1423249999998</v>
      </c>
      <c r="M46" s="144">
        <f>'Budget summary'!L21/1000000</f>
        <v>2038.8088009999999</v>
      </c>
      <c r="N46" s="144">
        <f>'Budget summary'!M21/1000000</f>
        <v>1910.433818</v>
      </c>
      <c r="O46" s="144">
        <f>'Budget summary'!N21/1000000</f>
        <v>1767.4404480000001</v>
      </c>
      <c r="P46" s="144">
        <f>'Budget summary'!O21/1000000</f>
        <v>1630.701399</v>
      </c>
      <c r="Q46" s="144">
        <f>'Budget summary'!P21/1000000</f>
        <v>1575.9632999999999</v>
      </c>
      <c r="R46" s="144">
        <f>'Budget summary'!Q21/1000000</f>
        <v>1444.4858999999999</v>
      </c>
      <c r="S46" s="144">
        <f>'Budget summary'!R21/1000000</f>
        <v>1376.3089</v>
      </c>
      <c r="T46" s="144">
        <f>'Budget summary'!S21/1000000</f>
        <v>1271.6801</v>
      </c>
    </row>
    <row r="47" spans="1:22">
      <c r="A47" s="24" t="s">
        <v>978</v>
      </c>
      <c r="B47" s="46">
        <f t="shared" si="18"/>
        <v>2.1915784167495511E-2</v>
      </c>
      <c r="C47" s="144">
        <f t="shared" ref="C47:T47" si="23">C46/C37*$E$37</f>
        <v>2620.3893167336537</v>
      </c>
      <c r="D47" s="144">
        <f t="shared" si="23"/>
        <v>2526.3525356435644</v>
      </c>
      <c r="E47" s="144">
        <f t="shared" si="23"/>
        <v>2466.2831719999999</v>
      </c>
      <c r="F47" s="144">
        <f t="shared" si="23"/>
        <v>2522.3658122129682</v>
      </c>
      <c r="G47" s="144">
        <f t="shared" si="23"/>
        <v>2515.2450860855597</v>
      </c>
      <c r="H47" s="144">
        <f t="shared" si="23"/>
        <v>2367.2964805837928</v>
      </c>
      <c r="I47" s="144">
        <f t="shared" si="23"/>
        <v>2316.3403452172947</v>
      </c>
      <c r="J47" s="144">
        <f t="shared" si="23"/>
        <v>2360.406771138672</v>
      </c>
      <c r="K47" s="144">
        <f t="shared" si="23"/>
        <v>2490.3038235860913</v>
      </c>
      <c r="L47" s="144">
        <f t="shared" si="23"/>
        <v>2444.3748051559246</v>
      </c>
      <c r="M47" s="144">
        <f t="shared" si="23"/>
        <v>2413.5343623814101</v>
      </c>
      <c r="N47" s="144">
        <f t="shared" si="23"/>
        <v>2325.97873352222</v>
      </c>
      <c r="O47" s="144">
        <f t="shared" si="23"/>
        <v>2221.2979534534165</v>
      </c>
      <c r="P47" s="144">
        <f t="shared" si="23"/>
        <v>2118.8819237220773</v>
      </c>
      <c r="Q47" s="144">
        <f t="shared" si="23"/>
        <v>2102.2896240511459</v>
      </c>
      <c r="R47" s="144">
        <f t="shared" si="23"/>
        <v>1970.817517080565</v>
      </c>
      <c r="S47" s="144">
        <f t="shared" si="23"/>
        <v>1907.4871775063832</v>
      </c>
      <c r="T47" s="144">
        <f t="shared" si="23"/>
        <v>1812.6293102436105</v>
      </c>
    </row>
    <row r="48" spans="1:22">
      <c r="A48" s="24" t="s">
        <v>975</v>
      </c>
      <c r="B48" s="46">
        <f t="shared" si="18"/>
        <v>1.0445416525846074E-2</v>
      </c>
      <c r="C48" s="144">
        <f t="shared" ref="C48:T48" si="24">C47/C8*1000000</f>
        <v>13996.983706799567</v>
      </c>
      <c r="D48" s="144">
        <f t="shared" si="24"/>
        <v>13399.201971113338</v>
      </c>
      <c r="E48" s="144">
        <f t="shared" si="24"/>
        <v>13203.860973846937</v>
      </c>
      <c r="F48" s="144">
        <f t="shared" si="24"/>
        <v>13716.337106571513</v>
      </c>
      <c r="G48" s="144">
        <f t="shared" si="24"/>
        <v>13876.525226805619</v>
      </c>
      <c r="H48" s="144">
        <f t="shared" si="24"/>
        <v>13305.54795233643</v>
      </c>
      <c r="I48" s="144">
        <f t="shared" si="24"/>
        <v>13241.300070411498</v>
      </c>
      <c r="J48" s="144">
        <f t="shared" si="24"/>
        <v>13692.169377395989</v>
      </c>
      <c r="K48" s="144">
        <f t="shared" si="24"/>
        <v>14688.764899822407</v>
      </c>
      <c r="L48" s="144">
        <f t="shared" si="24"/>
        <v>14697.967043816103</v>
      </c>
      <c r="M48" s="144">
        <f t="shared" si="24"/>
        <v>14673.190194797187</v>
      </c>
      <c r="N48" s="144">
        <f t="shared" si="24"/>
        <v>14158.279160004748</v>
      </c>
      <c r="O48" s="144">
        <f t="shared" si="24"/>
        <v>13510.887264934896</v>
      </c>
      <c r="P48" s="144">
        <f t="shared" si="24"/>
        <v>12904.667765291739</v>
      </c>
      <c r="Q48" s="144">
        <f t="shared" si="24"/>
        <v>12867.012008685848</v>
      </c>
      <c r="R48" s="144">
        <f t="shared" si="24"/>
        <v>12211.900220470088</v>
      </c>
      <c r="S48" s="144">
        <f t="shared" si="24"/>
        <v>12047.464978471577</v>
      </c>
      <c r="T48" s="144">
        <f t="shared" si="24"/>
        <v>11730.482259881121</v>
      </c>
    </row>
    <row r="49" spans="1:20">
      <c r="A49" s="24" t="s">
        <v>976</v>
      </c>
      <c r="B49" s="46">
        <f t="shared" si="18"/>
        <v>5.2146095937091186E-3</v>
      </c>
      <c r="C49" s="144">
        <f t="shared" ref="C49:J49" si="25">C47/C45*1000000</f>
        <v>10424.356217134906</v>
      </c>
      <c r="D49" s="144">
        <f t="shared" si="25"/>
        <v>9979.1538875884889</v>
      </c>
      <c r="E49" s="144">
        <f t="shared" si="25"/>
        <v>9826.3813704275817</v>
      </c>
      <c r="F49" s="144">
        <f t="shared" si="25"/>
        <v>10255.8333779083</v>
      </c>
      <c r="G49" s="144">
        <f t="shared" si="25"/>
        <v>10372.4268362853</v>
      </c>
      <c r="H49" s="144">
        <f t="shared" si="25"/>
        <v>10055.863330957975</v>
      </c>
      <c r="I49" s="144">
        <f t="shared" si="25"/>
        <v>10168.49135609352</v>
      </c>
      <c r="J49" s="144">
        <f t="shared" si="25"/>
        <v>10637.224097064418</v>
      </c>
      <c r="K49" s="144">
        <f t="shared" ref="K49" si="26">K47/K45*1000000</f>
        <v>11415.827160241837</v>
      </c>
      <c r="L49" s="144">
        <f t="shared" ref="L49:T49" si="27">L47/L45*1000000</f>
        <v>11467.504295184655</v>
      </c>
      <c r="M49" s="144">
        <f t="shared" si="27"/>
        <v>11502.225456552669</v>
      </c>
      <c r="N49" s="144">
        <f t="shared" si="27"/>
        <v>11156.592415534375</v>
      </c>
      <c r="O49" s="144">
        <f t="shared" si="27"/>
        <v>10648.685525648885</v>
      </c>
      <c r="P49" s="144">
        <f t="shared" si="27"/>
        <v>10253.485456736644</v>
      </c>
      <c r="Q49" s="144">
        <f t="shared" si="27"/>
        <v>10108.295386895321</v>
      </c>
      <c r="R49" s="144">
        <f t="shared" si="27"/>
        <v>9775.4852303433763</v>
      </c>
      <c r="S49" s="144">
        <f t="shared" si="27"/>
        <v>9730.525665641082</v>
      </c>
      <c r="T49" s="144">
        <f t="shared" si="27"/>
        <v>9542.2278156555221</v>
      </c>
    </row>
    <row r="50" spans="1:20">
      <c r="A50" s="24" t="s">
        <v>1017</v>
      </c>
      <c r="B50" s="46">
        <f t="shared" si="18"/>
        <v>-4.9739934518553408E-3</v>
      </c>
      <c r="C50">
        <f>'Budget summary'!B12/'Derived data'!C37*'Derived data'!$E$37/1000000</f>
        <v>85.726616998333498</v>
      </c>
      <c r="D50">
        <f>'Budget summary'!C12/'Derived data'!D37*'Derived data'!$E$37/1000000</f>
        <v>94.339347524752469</v>
      </c>
      <c r="E50">
        <f>'Budget summary'!D12/'Derived data'!E37*'Derived data'!$E$37/1000000</f>
        <v>86.219729000000001</v>
      </c>
      <c r="F50">
        <f>'Budget summary'!E12/'Derived data'!F37*'Derived data'!$E$37/1000000</f>
        <v>86.390230912411567</v>
      </c>
      <c r="G50">
        <f>'Budget summary'!F12/'Derived data'!G37*'Derived data'!$E$37/1000000</f>
        <v>105.15171494540351</v>
      </c>
      <c r="H50">
        <f>'Budget summary'!G12/'Derived data'!H37*'Derived data'!$E$37/1000000</f>
        <v>92.318196836993735</v>
      </c>
      <c r="I50">
        <f>'Budget summary'!H12/'Derived data'!I37*'Derived data'!$E$37/1000000</f>
        <v>94.098020981406009</v>
      </c>
      <c r="J50">
        <f>'Budget summary'!I12/'Derived data'!J37*'Derived data'!$E$37/1000000</f>
        <v>79.706222623923068</v>
      </c>
      <c r="K50">
        <f>'Budget summary'!J12/'Derived data'!K37*'Derived data'!$E$37/1000000</f>
        <v>80.230869625960253</v>
      </c>
      <c r="L50">
        <f>'Budget summary'!K12/'Derived data'!L37*'Derived data'!$E$37/1000000</f>
        <v>84.794456521546209</v>
      </c>
      <c r="M50">
        <f>'Budget summary'!L12/'Derived data'!M37*'Derived data'!$E$37/1000000</f>
        <v>92.732302613573395</v>
      </c>
      <c r="N50">
        <f>'Budget summary'!M12/'Derived data'!N37*'Derived data'!$E$37/1000000</f>
        <v>97.219224974008597</v>
      </c>
      <c r="O50">
        <f>'Budget summary'!N12/'Derived data'!O37*'Derived data'!$E$37/1000000</f>
        <v>88.84994256793685</v>
      </c>
      <c r="P50">
        <f>'Budget summary'!O12/'Derived data'!P37*'Derived data'!$E$37/1000000</f>
        <v>86.21020582417583</v>
      </c>
      <c r="Q50">
        <f>'Budget summary'!P12/'Derived data'!Q37*'Derived data'!$E$37/1000000</f>
        <v>95.074393799960987</v>
      </c>
      <c r="R50">
        <f>'Budget summary'!Q12/'Derived data'!R37*'Derived data'!$E$37/1000000</f>
        <v>85.636643128419536</v>
      </c>
      <c r="S50">
        <f>'Budget summary'!R12/'Derived data'!S37*'Derived data'!$E$37/1000000</f>
        <v>91.492960101010866</v>
      </c>
      <c r="T50">
        <f>'Budget summary'!S12/'Derived data'!T37*'Derived data'!$E$37/1000000</f>
        <v>93.310462946721088</v>
      </c>
    </row>
    <row r="51" spans="1:20">
      <c r="A51" s="24"/>
    </row>
    <row r="52" spans="1:20">
      <c r="B52" t="s">
        <v>861</v>
      </c>
    </row>
    <row r="53" spans="1:20" ht="15.75" customHeight="1" thickBot="1">
      <c r="B53" s="168" t="s">
        <v>862</v>
      </c>
      <c r="C53" s="169"/>
      <c r="D53" s="169"/>
      <c r="E53" s="169"/>
      <c r="F53" s="169"/>
      <c r="G53" s="169"/>
      <c r="H53" s="169"/>
    </row>
    <row r="54" spans="1:20" ht="15.75" thickBot="1">
      <c r="B54" s="104" t="s">
        <v>863</v>
      </c>
      <c r="C54" s="104"/>
      <c r="D54" s="104"/>
      <c r="E54" s="104"/>
      <c r="F54" s="92">
        <v>280</v>
      </c>
      <c r="G54" s="172"/>
      <c r="H54" s="173"/>
    </row>
    <row r="55" spans="1:20" ht="15.75" thickBot="1">
      <c r="B55" s="104" t="s">
        <v>864</v>
      </c>
      <c r="C55" s="104"/>
      <c r="D55" s="104"/>
      <c r="E55" s="104"/>
      <c r="F55" s="92">
        <v>20</v>
      </c>
      <c r="G55" s="174"/>
      <c r="H55" s="175"/>
    </row>
    <row r="56" spans="1:20" ht="15.75" thickBot="1">
      <c r="B56" s="104" t="s">
        <v>865</v>
      </c>
      <c r="C56" s="104"/>
      <c r="D56" s="104"/>
      <c r="E56" s="104"/>
      <c r="F56" s="92">
        <v>300</v>
      </c>
      <c r="G56" s="99" t="s">
        <v>866</v>
      </c>
      <c r="H56" s="100"/>
    </row>
    <row r="57" spans="1:20" ht="30.75" thickBot="1">
      <c r="B57" s="106" t="s">
        <v>867</v>
      </c>
      <c r="C57" s="106"/>
      <c r="D57" s="106"/>
      <c r="E57" s="106"/>
      <c r="F57" s="94" t="s">
        <v>868</v>
      </c>
      <c r="G57" s="94" t="s">
        <v>869</v>
      </c>
      <c r="H57" s="94" t="s">
        <v>870</v>
      </c>
    </row>
    <row r="58" spans="1:20" ht="16.5" customHeight="1">
      <c r="B58" s="105" t="s">
        <v>871</v>
      </c>
      <c r="C58" s="105"/>
      <c r="D58" s="105"/>
      <c r="E58" s="105"/>
      <c r="F58" s="170">
        <v>300</v>
      </c>
      <c r="G58" s="170">
        <v>11.89</v>
      </c>
      <c r="H58" s="95">
        <f>(300 / 26.25) + (30 * 0.4 / 26.25)</f>
        <v>11.885714285714286</v>
      </c>
    </row>
    <row r="59" spans="1:20" ht="15.75" thickBot="1">
      <c r="B59" s="104"/>
      <c r="C59" s="108"/>
      <c r="D59" s="108"/>
      <c r="E59" s="93"/>
      <c r="F59" s="171"/>
      <c r="G59" s="171"/>
      <c r="H59" s="101" t="s">
        <v>882</v>
      </c>
    </row>
    <row r="60" spans="1:20" ht="15.75" thickBot="1">
      <c r="B60" s="107" t="s">
        <v>872</v>
      </c>
      <c r="C60" s="107"/>
      <c r="D60" s="107"/>
      <c r="E60" s="107"/>
      <c r="F60" s="96"/>
      <c r="G60" s="96">
        <v>12</v>
      </c>
      <c r="H60" s="102" t="s">
        <v>873</v>
      </c>
    </row>
    <row r="61" spans="1:20" ht="15" customHeight="1">
      <c r="B61" s="105" t="s">
        <v>874</v>
      </c>
      <c r="F61" s="170">
        <v>40</v>
      </c>
      <c r="G61" s="170">
        <v>0.8</v>
      </c>
      <c r="H61" s="95">
        <f>(40 * 0.5 / 26.25)</f>
        <v>0.76190476190476186</v>
      </c>
    </row>
    <row r="62" spans="1:20" ht="15.75" thickBot="1">
      <c r="B62" s="104"/>
      <c r="C62" s="108"/>
      <c r="D62" s="108"/>
      <c r="E62" s="93"/>
      <c r="F62" s="171"/>
      <c r="G62" s="171"/>
      <c r="H62" s="103" t="s">
        <v>875</v>
      </c>
    </row>
    <row r="63" spans="1:20" ht="15.75" thickBot="1">
      <c r="B63" s="111" t="s">
        <v>876</v>
      </c>
      <c r="C63" s="91"/>
      <c r="D63" s="91"/>
      <c r="E63" s="91"/>
      <c r="F63" s="96"/>
      <c r="G63" s="96">
        <v>1</v>
      </c>
      <c r="H63" s="102" t="s">
        <v>877</v>
      </c>
    </row>
    <row r="64" spans="1:20" ht="15" customHeight="1">
      <c r="B64" s="110" t="s">
        <v>883</v>
      </c>
      <c r="F64" s="170">
        <v>20</v>
      </c>
      <c r="G64" s="170">
        <v>2.2000000000000002</v>
      </c>
      <c r="H64" s="95">
        <f>(20 * 2.6 / 24)</f>
        <v>2.1666666666666665</v>
      </c>
    </row>
    <row r="65" spans="2:8" ht="15.75" thickBot="1">
      <c r="B65" s="104" t="s">
        <v>884</v>
      </c>
      <c r="C65" s="108"/>
      <c r="D65" s="108"/>
      <c r="E65" s="93"/>
      <c r="F65" s="171"/>
      <c r="G65" s="171"/>
      <c r="H65" s="103" t="s">
        <v>878</v>
      </c>
    </row>
    <row r="66" spans="2:8" ht="15.75" thickBot="1">
      <c r="B66" s="107" t="s">
        <v>879</v>
      </c>
      <c r="C66" s="96"/>
      <c r="D66" s="96"/>
      <c r="E66" s="96"/>
      <c r="F66" s="96"/>
      <c r="G66" s="96">
        <v>2</v>
      </c>
      <c r="H66" s="102" t="s">
        <v>880</v>
      </c>
    </row>
    <row r="67" spans="2:8" ht="15.75" thickBot="1">
      <c r="B67" s="109" t="s">
        <v>881</v>
      </c>
      <c r="C67" s="97"/>
      <c r="D67" s="97"/>
      <c r="E67" s="97"/>
      <c r="F67" s="97"/>
      <c r="G67" s="97">
        <v>15</v>
      </c>
      <c r="H67" s="98"/>
    </row>
    <row r="70" spans="2:8">
      <c r="B70" s="24" t="s">
        <v>885</v>
      </c>
    </row>
    <row r="71" spans="2:8">
      <c r="B71" s="24" t="s">
        <v>886</v>
      </c>
    </row>
    <row r="72" spans="2:8">
      <c r="B72" s="24" t="s">
        <v>887</v>
      </c>
    </row>
    <row r="73" spans="2:8">
      <c r="B73" s="24" t="s">
        <v>888</v>
      </c>
    </row>
    <row r="75" spans="2:8">
      <c r="B75" s="24" t="s">
        <v>889</v>
      </c>
    </row>
    <row r="77" spans="2:8">
      <c r="B77" s="24" t="s">
        <v>904</v>
      </c>
      <c r="H77" t="s">
        <v>951</v>
      </c>
    </row>
    <row r="78" spans="2:8">
      <c r="B78" t="s">
        <v>950</v>
      </c>
      <c r="C78">
        <v>196</v>
      </c>
      <c r="D78" s="24" t="s">
        <v>890</v>
      </c>
      <c r="H78" t="s">
        <v>952</v>
      </c>
    </row>
    <row r="79" spans="2:8">
      <c r="B79" s="24" t="s">
        <v>891</v>
      </c>
    </row>
    <row r="80" spans="2:8" ht="15">
      <c r="B80" s="24" t="s">
        <v>892</v>
      </c>
      <c r="D80">
        <v>2</v>
      </c>
      <c r="E80" s="24" t="s">
        <v>898</v>
      </c>
      <c r="H80" s="113" t="s">
        <v>908</v>
      </c>
    </row>
    <row r="81" spans="2:8" ht="15">
      <c r="B81" s="24" t="s">
        <v>893</v>
      </c>
      <c r="D81">
        <v>2</v>
      </c>
      <c r="E81" s="24" t="s">
        <v>899</v>
      </c>
      <c r="H81" s="113" t="s">
        <v>909</v>
      </c>
    </row>
    <row r="82" spans="2:8" ht="15">
      <c r="B82" s="24" t="s">
        <v>894</v>
      </c>
      <c r="D82">
        <v>2</v>
      </c>
      <c r="E82" s="24" t="s">
        <v>899</v>
      </c>
      <c r="H82" s="113" t="s">
        <v>917</v>
      </c>
    </row>
    <row r="83" spans="2:8" ht="15">
      <c r="B83" s="24" t="s">
        <v>895</v>
      </c>
      <c r="D83">
        <v>2</v>
      </c>
      <c r="E83" s="24" t="s">
        <v>898</v>
      </c>
      <c r="H83" s="113" t="s">
        <v>912</v>
      </c>
    </row>
    <row r="84" spans="2:8" ht="15">
      <c r="B84" s="24" t="s">
        <v>896</v>
      </c>
      <c r="D84">
        <v>2</v>
      </c>
      <c r="E84" s="24" t="s">
        <v>898</v>
      </c>
      <c r="H84" s="113" t="s">
        <v>913</v>
      </c>
    </row>
    <row r="85" spans="2:8" ht="15">
      <c r="B85" s="24" t="s">
        <v>897</v>
      </c>
      <c r="D85">
        <v>2</v>
      </c>
      <c r="E85" s="24" t="s">
        <v>898</v>
      </c>
      <c r="H85" s="113" t="s">
        <v>914</v>
      </c>
    </row>
    <row r="86" spans="2:8" ht="15">
      <c r="B86" s="24" t="s">
        <v>902</v>
      </c>
      <c r="D86">
        <f>(D80+D83+D84+D85)*C78</f>
        <v>1568</v>
      </c>
      <c r="E86" s="24" t="s">
        <v>900</v>
      </c>
      <c r="H86" s="113" t="s">
        <v>915</v>
      </c>
    </row>
    <row r="87" spans="2:8" ht="15">
      <c r="D87" s="45">
        <f>(D81+D82)*F8/1000</f>
        <v>735.58</v>
      </c>
      <c r="E87" s="24" t="s">
        <v>901</v>
      </c>
      <c r="H87" s="113" t="s">
        <v>916</v>
      </c>
    </row>
    <row r="88" spans="2:8" ht="15">
      <c r="B88" s="24" t="s">
        <v>903</v>
      </c>
      <c r="D88" s="45">
        <f>D86+D87</f>
        <v>2303.58</v>
      </c>
      <c r="H88" s="113" t="s">
        <v>910</v>
      </c>
    </row>
    <row r="89" spans="2:8" ht="15">
      <c r="B89" s="24" t="s">
        <v>905</v>
      </c>
      <c r="D89" s="112">
        <f>F8/(F15-D88)</f>
        <v>14.508229442960362</v>
      </c>
      <c r="E89" s="24" t="s">
        <v>907</v>
      </c>
      <c r="H89" s="113" t="s">
        <v>911</v>
      </c>
    </row>
    <row r="90" spans="2:8">
      <c r="D90" s="71">
        <f>F8/F15</f>
        <v>12.277018185702461</v>
      </c>
      <c r="E90" s="24" t="s">
        <v>906</v>
      </c>
    </row>
    <row r="91" spans="2:8" ht="15">
      <c r="G91" s="113"/>
    </row>
    <row r="92" spans="2:8" ht="15">
      <c r="G92" s="113"/>
    </row>
    <row r="93" spans="2:8" ht="15">
      <c r="G93" s="113"/>
    </row>
    <row r="94" spans="2:8" ht="15">
      <c r="G94" s="113"/>
    </row>
    <row r="108" spans="1:10">
      <c r="A108" s="24"/>
      <c r="F108" s="71"/>
      <c r="G108" s="71"/>
      <c r="H108" s="71"/>
      <c r="I108" s="71"/>
      <c r="J108" s="73"/>
    </row>
  </sheetData>
  <mergeCells count="9">
    <mergeCell ref="B53:H53"/>
    <mergeCell ref="F61:F62"/>
    <mergeCell ref="G61:G62"/>
    <mergeCell ref="F64:F65"/>
    <mergeCell ref="G64:G65"/>
    <mergeCell ref="G54:H54"/>
    <mergeCell ref="G55:H55"/>
    <mergeCell ref="F58:F59"/>
    <mergeCell ref="G58:G59"/>
  </mergeCells>
  <hyperlinks>
    <hyperlink ref="B3" r:id="rId1"/>
    <hyperlink ref="I2" r:id="rId2"/>
    <hyperlink ref="I1" r:id="rId3"/>
    <hyperlink ref="A41" r:id="rId4"/>
    <hyperlink ref="A40" r:id="rId5"/>
  </hyperlinks>
  <pageMargins left="0.7" right="0.7"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sheetPr codeName="Sheet27"/>
  <dimension ref="A1:AD82"/>
  <sheetViews>
    <sheetView workbookViewId="0"/>
  </sheetViews>
  <sheetFormatPr defaultRowHeight="12.75"/>
  <cols>
    <col min="1" max="1" width="28.28515625" bestFit="1" customWidth="1"/>
    <col min="2" max="14" width="15.42578125" customWidth="1"/>
    <col min="15" max="15" width="15.42578125" bestFit="1" customWidth="1"/>
    <col min="16" max="20" width="15.42578125" customWidth="1"/>
    <col min="24" max="24" width="15.42578125" bestFit="1" customWidth="1"/>
    <col min="25" max="25" width="9.5703125" bestFit="1" customWidth="1"/>
    <col min="26" max="26" width="15.42578125" bestFit="1" customWidth="1"/>
    <col min="27" max="27" width="9.5703125" bestFit="1" customWidth="1"/>
  </cols>
  <sheetData>
    <row r="1" spans="1:30">
      <c r="A1" t="s">
        <v>1114</v>
      </c>
    </row>
    <row r="2" spans="1:30" ht="18">
      <c r="A2" s="26" t="s">
        <v>812</v>
      </c>
      <c r="B2" s="26"/>
      <c r="C2" s="26"/>
      <c r="D2" s="6" t="s">
        <v>111</v>
      </c>
      <c r="F2" s="44" t="s">
        <v>110</v>
      </c>
    </row>
    <row r="4" spans="1:30">
      <c r="A4" s="24" t="s">
        <v>954</v>
      </c>
      <c r="B4" s="73">
        <f>C4*1.0165</f>
        <v>253.61739421157625</v>
      </c>
      <c r="C4" s="73">
        <f>D4*1.0165</f>
        <v>249.50063375462494</v>
      </c>
      <c r="D4" s="73">
        <f>E4*1.0165</f>
        <v>245.45069724999996</v>
      </c>
      <c r="E4" s="73">
        <f>F4*1.021</f>
        <v>241.46649999999997</v>
      </c>
      <c r="F4" s="73">
        <v>236.5</v>
      </c>
      <c r="G4" s="73">
        <v>229.6</v>
      </c>
      <c r="H4" s="73">
        <v>224.9</v>
      </c>
      <c r="I4" s="73">
        <v>218.1</v>
      </c>
      <c r="J4" s="126">
        <v>214.5</v>
      </c>
      <c r="K4" s="126">
        <v>215.3</v>
      </c>
      <c r="L4" s="126">
        <v>207.3</v>
      </c>
      <c r="M4" s="126">
        <v>201.6</v>
      </c>
      <c r="N4" s="126">
        <v>195.3</v>
      </c>
      <c r="O4" s="126">
        <v>188.9</v>
      </c>
      <c r="P4" s="126">
        <v>184</v>
      </c>
      <c r="Q4" s="126">
        <v>179.9</v>
      </c>
      <c r="R4" s="126">
        <v>177.1</v>
      </c>
      <c r="S4" s="126">
        <v>172.2</v>
      </c>
    </row>
    <row r="5" spans="1:30" ht="15.75">
      <c r="A5" s="18" t="s">
        <v>811</v>
      </c>
      <c r="B5" s="20" t="s">
        <v>980</v>
      </c>
      <c r="C5" s="20" t="s">
        <v>117</v>
      </c>
      <c r="D5" s="20" t="s">
        <v>115</v>
      </c>
      <c r="E5" s="20" t="s">
        <v>115</v>
      </c>
      <c r="F5" s="20" t="s">
        <v>115</v>
      </c>
      <c r="G5" s="30" t="s">
        <v>115</v>
      </c>
      <c r="H5" s="30" t="s">
        <v>115</v>
      </c>
      <c r="I5" s="30" t="s">
        <v>115</v>
      </c>
      <c r="J5" s="30" t="s">
        <v>115</v>
      </c>
      <c r="K5" s="30" t="s">
        <v>115</v>
      </c>
      <c r="L5" s="30" t="s">
        <v>115</v>
      </c>
      <c r="M5" s="30" t="s">
        <v>115</v>
      </c>
      <c r="N5" s="30" t="s">
        <v>115</v>
      </c>
      <c r="O5" s="30" t="s">
        <v>115</v>
      </c>
      <c r="P5" s="30" t="s">
        <v>115</v>
      </c>
      <c r="Q5" s="30" t="s">
        <v>115</v>
      </c>
      <c r="R5" s="30" t="s">
        <v>115</v>
      </c>
      <c r="S5" s="30" t="s">
        <v>115</v>
      </c>
      <c r="AB5" s="5"/>
      <c r="AC5" s="5"/>
      <c r="AD5" s="5"/>
    </row>
    <row r="6" spans="1:30" ht="15.75">
      <c r="A6" s="18"/>
      <c r="B6" s="2">
        <f>C6+1</f>
        <v>2017</v>
      </c>
      <c r="C6" s="2">
        <f>D6+1</f>
        <v>2016</v>
      </c>
      <c r="D6" s="2">
        <f>E6+1</f>
        <v>2015</v>
      </c>
      <c r="E6" s="2">
        <f>F6+1</f>
        <v>2014</v>
      </c>
      <c r="F6" s="2">
        <f>G6+1</f>
        <v>2013</v>
      </c>
      <c r="G6" s="2">
        <f>[1]Sheet2!O7+1</f>
        <v>2012</v>
      </c>
      <c r="H6" s="2">
        <v>2011</v>
      </c>
      <c r="I6" s="2">
        <v>2010</v>
      </c>
      <c r="J6" s="2">
        <f t="shared" ref="J6:R6" si="0">K6+1</f>
        <v>2009</v>
      </c>
      <c r="K6" s="2">
        <f t="shared" si="0"/>
        <v>2008</v>
      </c>
      <c r="L6" s="2">
        <f t="shared" si="0"/>
        <v>2007</v>
      </c>
      <c r="M6" s="2">
        <f t="shared" si="0"/>
        <v>2006</v>
      </c>
      <c r="N6" s="2">
        <f t="shared" si="0"/>
        <v>2005</v>
      </c>
      <c r="O6" s="2">
        <f t="shared" si="0"/>
        <v>2004</v>
      </c>
      <c r="P6" s="2">
        <f t="shared" si="0"/>
        <v>2003</v>
      </c>
      <c r="Q6" s="2">
        <f t="shared" si="0"/>
        <v>2002</v>
      </c>
      <c r="R6" s="2">
        <f t="shared" si="0"/>
        <v>2001</v>
      </c>
      <c r="S6" s="2">
        <v>2000</v>
      </c>
      <c r="AB6" s="5"/>
      <c r="AC6" s="5"/>
      <c r="AD6" s="5"/>
    </row>
    <row r="7" spans="1:30">
      <c r="A7" s="5" t="s">
        <v>99</v>
      </c>
      <c r="B7" s="4">
        <f>'Expenditure detail'!B8</f>
        <v>1525147447</v>
      </c>
      <c r="C7" s="4">
        <f>'Expenditure detail'!C8</f>
        <v>1457015320</v>
      </c>
      <c r="D7" s="4">
        <f>'Expenditure detail'!D8</f>
        <v>1407955382</v>
      </c>
      <c r="E7" s="4">
        <f>'Expenditure detail'!E8</f>
        <v>1405539523</v>
      </c>
      <c r="F7" s="4">
        <f>'Expenditure detail'!F8</f>
        <v>1354649129</v>
      </c>
      <c r="G7" s="4">
        <f>'Expenditure detail'!G8</f>
        <v>1302541662</v>
      </c>
      <c r="H7" s="4">
        <f>'Expenditure detail'!H8</f>
        <v>1248783922</v>
      </c>
      <c r="I7" s="4">
        <f>'Expenditure detail'!I8</f>
        <v>1269896062</v>
      </c>
      <c r="J7" s="4">
        <f>'Expenditure detail'!J8</f>
        <v>1288540745</v>
      </c>
      <c r="K7" s="4">
        <f>'Expenditure detail'!K8</f>
        <v>1244588986</v>
      </c>
      <c r="L7" s="4">
        <f>'Expenditure detail'!L8</f>
        <v>1194775690</v>
      </c>
      <c r="M7" s="4">
        <f>'Expenditure detail'!M8</f>
        <v>1141033430</v>
      </c>
      <c r="N7" s="4">
        <f>'Expenditure detail'!N8</f>
        <v>1072190539</v>
      </c>
      <c r="O7" s="4">
        <f>'Expenditure detail'!O8</f>
        <v>1021892728</v>
      </c>
      <c r="P7" s="4">
        <f>'Expenditure detail'!P8</f>
        <v>979145500</v>
      </c>
      <c r="Q7" s="4">
        <f>'Expenditure detail'!Q8</f>
        <v>931886200</v>
      </c>
      <c r="R7" s="4">
        <f>'Expenditure detail'!R8</f>
        <v>867049100</v>
      </c>
      <c r="S7" s="4">
        <f>'Expenditure detail'!S8</f>
        <v>786906900.00000012</v>
      </c>
      <c r="AB7" s="19"/>
      <c r="AC7" s="19"/>
      <c r="AD7" s="19"/>
    </row>
    <row r="8" spans="1:30">
      <c r="A8" s="5" t="s">
        <v>112</v>
      </c>
      <c r="B8" s="4">
        <f>'Expenditure detail'!B124</f>
        <v>72162803</v>
      </c>
      <c r="C8" s="4">
        <f>'Expenditure detail'!C124</f>
        <v>69623737</v>
      </c>
      <c r="D8" s="4">
        <f>'Expenditure detail'!D124</f>
        <v>66958012</v>
      </c>
      <c r="E8" s="4">
        <f>'Expenditure detail'!E124</f>
        <v>66502029</v>
      </c>
      <c r="F8" s="4">
        <f>'Expenditure detail'!F124</f>
        <v>62302953</v>
      </c>
      <c r="G8" s="4">
        <f>'Expenditure detail'!G124</f>
        <v>58554656</v>
      </c>
      <c r="H8" s="4">
        <f>'Expenditure detail'!H124</f>
        <v>57726697</v>
      </c>
      <c r="I8" s="4">
        <f>'Expenditure detail'!I124</f>
        <v>57490897</v>
      </c>
      <c r="J8" s="4">
        <f>'Expenditure detail'!J124</f>
        <v>58391289</v>
      </c>
      <c r="K8" s="4">
        <f>'Expenditure detail'!K124</f>
        <v>57730829</v>
      </c>
      <c r="L8" s="4">
        <f>'Expenditure detail'!L124</f>
        <v>55802653</v>
      </c>
      <c r="M8" s="4">
        <f>'Expenditure detail'!M124</f>
        <v>50944890</v>
      </c>
      <c r="N8" s="4">
        <f>'Expenditure detail'!N124</f>
        <v>46545516</v>
      </c>
      <c r="O8" s="4">
        <f>'Expenditure detail'!O124</f>
        <v>45330743</v>
      </c>
      <c r="P8" s="4">
        <f>'Expenditure detail'!P124</f>
        <v>43544200</v>
      </c>
      <c r="Q8" s="4">
        <f>'Expenditure detail'!Q124</f>
        <v>38260200</v>
      </c>
      <c r="R8" s="4">
        <f>'Expenditure detail'!R124</f>
        <v>35315100</v>
      </c>
      <c r="S8" s="4">
        <f>'Expenditure detail'!S124</f>
        <v>31004500</v>
      </c>
      <c r="AB8" s="19"/>
      <c r="AC8" s="19"/>
      <c r="AD8" s="19"/>
    </row>
    <row r="9" spans="1:30">
      <c r="A9" s="5" t="s">
        <v>113</v>
      </c>
      <c r="B9" s="4">
        <f>'Expenditure detail'!B141</f>
        <v>44596230</v>
      </c>
      <c r="C9" s="4">
        <f>'Expenditure detail'!C141</f>
        <v>42322244</v>
      </c>
      <c r="D9" s="4">
        <f>'Expenditure detail'!D141</f>
        <v>50619955</v>
      </c>
      <c r="E9" s="4">
        <f>'Expenditure detail'!E141</f>
        <v>50839548</v>
      </c>
      <c r="F9" s="4">
        <f>'Expenditure detail'!F141</f>
        <v>50207510</v>
      </c>
      <c r="G9" s="4">
        <f>'Expenditure detail'!G141</f>
        <v>50514952</v>
      </c>
      <c r="H9" s="4">
        <f>'Expenditure detail'!H141</f>
        <v>46536396</v>
      </c>
      <c r="I9" s="4">
        <f>'Expenditure detail'!I141</f>
        <v>43400009</v>
      </c>
      <c r="J9" s="4">
        <f>'Expenditure detail'!J141</f>
        <v>44540552</v>
      </c>
      <c r="K9" s="4">
        <f>'Expenditure detail'!K141</f>
        <v>45753516</v>
      </c>
      <c r="L9" s="4">
        <f>'Expenditure detail'!L141</f>
        <v>43844192</v>
      </c>
      <c r="M9" s="4">
        <f>'Expenditure detail'!M141</f>
        <v>43214429</v>
      </c>
      <c r="N9" s="4">
        <f>'Expenditure detail'!N141</f>
        <v>41469288</v>
      </c>
      <c r="O9" s="4">
        <f>'Expenditure detail'!O141</f>
        <v>38593021</v>
      </c>
      <c r="P9" s="4">
        <f>'Expenditure detail'!P141</f>
        <v>42114100</v>
      </c>
      <c r="Q9" s="4">
        <f>'Expenditure detail'!Q141</f>
        <v>39371700</v>
      </c>
      <c r="R9" s="4">
        <f>'Expenditure detail'!R141</f>
        <v>36584700</v>
      </c>
      <c r="S9" s="4">
        <f>'Expenditure detail'!S141</f>
        <v>32481900</v>
      </c>
      <c r="AB9" s="19"/>
      <c r="AC9" s="19"/>
      <c r="AD9" s="19"/>
    </row>
    <row r="10" spans="1:30">
      <c r="A10" s="5" t="s">
        <v>100</v>
      </c>
      <c r="B10" s="4">
        <f>'Expenditure detail'!B169</f>
        <v>16070613</v>
      </c>
      <c r="C10" s="4">
        <f>'Expenditure detail'!C169</f>
        <v>16270424</v>
      </c>
      <c r="D10" s="4">
        <f>'Expenditure detail'!D169</f>
        <v>7996000</v>
      </c>
      <c r="E10" s="4">
        <f>'Expenditure detail'!E169</f>
        <v>7926157</v>
      </c>
      <c r="F10" s="4">
        <f>'Expenditure detail'!F169</f>
        <v>6835052</v>
      </c>
      <c r="G10" s="4">
        <f>'Expenditure detail'!G169</f>
        <v>7687514</v>
      </c>
      <c r="H10" s="4">
        <f>'Expenditure detail'!H169</f>
        <v>9207554</v>
      </c>
      <c r="I10" s="4">
        <f>'Expenditure detail'!I169</f>
        <v>11423772</v>
      </c>
      <c r="J10" s="4">
        <f>'Expenditure detail'!J169</f>
        <v>8454712</v>
      </c>
      <c r="K10" s="4">
        <f>'Expenditure detail'!K169</f>
        <v>9309742</v>
      </c>
      <c r="L10" s="4">
        <f>'Expenditure detail'!L169</f>
        <v>8333756</v>
      </c>
      <c r="M10" s="4">
        <f>'Expenditure detail'!M169</f>
        <v>8783656</v>
      </c>
      <c r="N10" s="4">
        <f>'Expenditure detail'!N169</f>
        <v>10636864</v>
      </c>
      <c r="O10" s="4">
        <f>'Expenditure detail'!O169</f>
        <v>8010938</v>
      </c>
      <c r="P10" s="4">
        <f>'Expenditure detail'!P169</f>
        <v>9288100</v>
      </c>
      <c r="Q10" s="4">
        <f>'Expenditure detail'!Q169</f>
        <v>9602700</v>
      </c>
      <c r="R10" s="4">
        <f>'Expenditure detail'!R169</f>
        <v>8141500</v>
      </c>
      <c r="S10" s="4">
        <f>'Expenditure detail'!S169</f>
        <v>8187300</v>
      </c>
      <c r="AB10" s="19"/>
      <c r="AC10" s="19"/>
      <c r="AD10" s="19"/>
    </row>
    <row r="11" spans="1:30">
      <c r="A11" s="5" t="s">
        <v>101</v>
      </c>
      <c r="B11" s="4">
        <f>'Expenditure detail'!B210</f>
        <v>728232071</v>
      </c>
      <c r="C11" s="4">
        <f>'Expenditure detail'!C210</f>
        <v>679328640</v>
      </c>
      <c r="D11" s="4">
        <f>'Expenditure detail'!D210</f>
        <v>656923234</v>
      </c>
      <c r="E11" s="4">
        <f>'Expenditure detail'!E210</f>
        <v>615242813</v>
      </c>
      <c r="F11" s="4">
        <f>'Expenditure detail'!F210</f>
        <v>618234459</v>
      </c>
      <c r="G11" s="4">
        <f>'Expenditure detail'!G210</f>
        <v>528997057</v>
      </c>
      <c r="H11" s="4">
        <f>'Expenditure detail'!H210</f>
        <v>476814440</v>
      </c>
      <c r="I11" s="4">
        <f>'Expenditure detail'!I210</f>
        <v>461990456</v>
      </c>
      <c r="J11" s="4">
        <f>'Expenditure detail'!J210</f>
        <v>504765019</v>
      </c>
      <c r="K11" s="4">
        <f>'Expenditure detail'!K210</f>
        <v>497119248</v>
      </c>
      <c r="L11" s="4">
        <f>'Expenditure detail'!L210</f>
        <v>447052195</v>
      </c>
      <c r="M11" s="4">
        <f>'Expenditure detail'!M210</f>
        <v>379596603</v>
      </c>
      <c r="N11" s="4">
        <f>'Expenditure detail'!N210</f>
        <v>342847897</v>
      </c>
      <c r="O11" s="4">
        <f>'Expenditure detail'!O210</f>
        <v>279490005</v>
      </c>
      <c r="P11" s="4">
        <f>'Expenditure detail'!P210</f>
        <v>253496500</v>
      </c>
      <c r="Q11" s="4">
        <f>'Expenditure detail'!Q210</f>
        <v>223910800</v>
      </c>
      <c r="R11" s="4">
        <f>'Expenditure detail'!R210</f>
        <v>235208600</v>
      </c>
      <c r="S11" s="4">
        <f>'Expenditure detail'!S210</f>
        <v>231576600</v>
      </c>
      <c r="AB11" s="19"/>
      <c r="AC11" s="19"/>
      <c r="AD11" s="19"/>
    </row>
    <row r="12" spans="1:30">
      <c r="A12" s="5" t="s">
        <v>102</v>
      </c>
      <c r="B12" s="4">
        <f>'Expenditure detail'!B247</f>
        <v>87449722</v>
      </c>
      <c r="C12" s="4">
        <f>'Expenditure detail'!C247</f>
        <v>95282741</v>
      </c>
      <c r="D12" s="4">
        <f>'Expenditure detail'!D247</f>
        <v>86219729</v>
      </c>
      <c r="E12" s="4">
        <f>'Expenditure detail'!E247</f>
        <v>83576967</v>
      </c>
      <c r="F12" s="4">
        <f>'Expenditure detail'!F247</f>
        <v>99732834</v>
      </c>
      <c r="G12" s="4">
        <f>'Expenditure detail'!G247</f>
        <v>86354191</v>
      </c>
      <c r="H12" s="4">
        <f>'Expenditure detail'!H247</f>
        <v>86234550</v>
      </c>
      <c r="I12" s="4">
        <f>'Expenditure detail'!I247</f>
        <v>70810229</v>
      </c>
      <c r="J12" s="4">
        <f>'Expenditure detail'!J247</f>
        <v>70126059</v>
      </c>
      <c r="K12" s="4">
        <f>'Expenditure detail'!K247</f>
        <v>74379503</v>
      </c>
      <c r="L12" s="4">
        <f>'Expenditure detail'!L247</f>
        <v>78334677</v>
      </c>
      <c r="M12" s="4">
        <f>'Expenditure detail'!M247</f>
        <v>79850642</v>
      </c>
      <c r="N12" s="4">
        <f>'Expenditure detail'!N247</f>
        <v>70696046</v>
      </c>
      <c r="O12" s="4">
        <f>'Expenditure detail'!O247</f>
        <v>66347776</v>
      </c>
      <c r="P12" s="4">
        <f>'Expenditure detail'!P247</f>
        <v>71271700</v>
      </c>
      <c r="Q12" s="4">
        <f>'Expenditure detail'!Q247</f>
        <v>62766300</v>
      </c>
      <c r="R12" s="4">
        <f>'Expenditure detail'!R247</f>
        <v>66014900</v>
      </c>
      <c r="S12" s="4">
        <f>'Expenditure detail'!S247</f>
        <v>65463500</v>
      </c>
      <c r="AB12" s="19"/>
      <c r="AC12" s="19"/>
      <c r="AD12" s="19"/>
    </row>
    <row r="13" spans="1:30">
      <c r="A13" s="5" t="s">
        <v>2</v>
      </c>
      <c r="B13" s="4">
        <f>'Expenditure detail'!B289</f>
        <v>47924509</v>
      </c>
      <c r="C13" s="4">
        <f>'Expenditure detail'!C289</f>
        <v>46863584</v>
      </c>
      <c r="D13" s="4">
        <f>'Expenditure detail'!D289</f>
        <v>44072872</v>
      </c>
      <c r="E13" s="4">
        <f>'Expenditure detail'!E289</f>
        <v>47105297</v>
      </c>
      <c r="F13" s="4">
        <f>'Expenditure detail'!F289</f>
        <v>47509170</v>
      </c>
      <c r="G13" s="4">
        <f>'Expenditure detail'!G289</f>
        <v>45914893</v>
      </c>
      <c r="H13" s="4">
        <f>'Expenditure detail'!H289</f>
        <v>47104309</v>
      </c>
      <c r="I13" s="4">
        <f>'Expenditure detail'!I289</f>
        <v>43802098</v>
      </c>
      <c r="J13" s="4">
        <f>'Expenditure detail'!J289</f>
        <v>55536492</v>
      </c>
      <c r="K13" s="4">
        <f>'Expenditure detail'!K289</f>
        <v>50773810</v>
      </c>
      <c r="L13" s="4">
        <f>'Expenditure detail'!L289</f>
        <v>47983882</v>
      </c>
      <c r="M13" s="4">
        <f>'Expenditure detail'!M289</f>
        <v>47472614</v>
      </c>
      <c r="N13" s="4">
        <f>'Expenditure detail'!N289</f>
        <v>48151153</v>
      </c>
      <c r="O13" s="4">
        <f>'Expenditure detail'!O289</f>
        <v>46713785</v>
      </c>
      <c r="P13" s="4">
        <f>'Expenditure detail'!P289</f>
        <v>40050600</v>
      </c>
      <c r="Q13" s="4">
        <f>'Expenditure detail'!Q289</f>
        <v>35886100</v>
      </c>
      <c r="R13" s="4">
        <f>'Expenditure detail'!R289</f>
        <v>34504600</v>
      </c>
      <c r="S13" s="4">
        <f>'Expenditure detail'!S289</f>
        <v>26811600</v>
      </c>
      <c r="AB13" s="19"/>
      <c r="AC13" s="19"/>
      <c r="AD13" s="19"/>
    </row>
    <row r="14" spans="1:30">
      <c r="A14" s="5" t="s">
        <v>103</v>
      </c>
      <c r="B14" s="4">
        <f>'Expenditure detail'!B305</f>
        <v>2149755</v>
      </c>
      <c r="C14" s="4">
        <f>'Expenditure detail'!C305</f>
        <v>2150755</v>
      </c>
      <c r="D14" s="4">
        <f>'Expenditure detail'!D305</f>
        <v>1788063</v>
      </c>
      <c r="E14" s="4">
        <f>'Expenditure detail'!E305</f>
        <v>1841334</v>
      </c>
      <c r="F14" s="4">
        <f>'Expenditure detail'!F305</f>
        <v>1833347</v>
      </c>
      <c r="G14" s="4">
        <f>'Expenditure detail'!G305</f>
        <v>2145911</v>
      </c>
      <c r="H14" s="4">
        <f>'Expenditure detail'!H305</f>
        <v>1889218</v>
      </c>
      <c r="I14" s="4">
        <f>'Expenditure detail'!I305</f>
        <v>1972731</v>
      </c>
      <c r="J14" s="4">
        <f>'Expenditure detail'!J305</f>
        <v>2217479</v>
      </c>
      <c r="K14" s="4">
        <f>'Expenditure detail'!K305</f>
        <v>2430923</v>
      </c>
      <c r="L14" s="4">
        <f>'Expenditure detail'!L305</f>
        <v>2249725</v>
      </c>
      <c r="M14" s="4">
        <f>'Expenditure detail'!M305</f>
        <v>1796645</v>
      </c>
      <c r="N14" s="4">
        <f>'Expenditure detail'!N305</f>
        <v>1589445</v>
      </c>
      <c r="O14" s="4">
        <f>'Expenditure detail'!O305</f>
        <v>1408991</v>
      </c>
      <c r="P14" s="4">
        <f>'Expenditure detail'!P305</f>
        <v>1521600</v>
      </c>
      <c r="Q14" s="4">
        <f>'Expenditure detail'!Q305</f>
        <v>1315900</v>
      </c>
      <c r="R14" s="4">
        <f>'Expenditure detail'!R305</f>
        <v>1079200</v>
      </c>
      <c r="S14" s="4">
        <f>'Expenditure detail'!S305</f>
        <v>945700</v>
      </c>
      <c r="AB14" s="19"/>
      <c r="AC14" s="19"/>
      <c r="AD14" s="19"/>
    </row>
    <row r="15" spans="1:30">
      <c r="A15" s="5" t="s">
        <v>104</v>
      </c>
      <c r="B15" s="4">
        <f>'Expenditure detail'!B303-'Budget summary'!B14</f>
        <v>-382458</v>
      </c>
      <c r="C15" s="4">
        <f>'Expenditure detail'!C303-'Budget summary'!C14</f>
        <v>-395101</v>
      </c>
      <c r="D15" s="4">
        <f>'Expenditure detail'!D303-'Budget summary'!D14</f>
        <v>-1794719</v>
      </c>
      <c r="E15" s="4">
        <f>'Expenditure detail'!E303-'Budget summary'!E14</f>
        <v>3709793</v>
      </c>
      <c r="F15" s="4">
        <f>'Expenditure detail'!F303-'Budget summary'!F14</f>
        <v>1384330</v>
      </c>
      <c r="G15" s="4">
        <f>'Expenditure detail'!G303-'Budget summary'!G14</f>
        <v>1264129</v>
      </c>
      <c r="H15" s="4">
        <f>'Expenditure detail'!H303-'Budget summary'!H14</f>
        <v>1317283</v>
      </c>
      <c r="I15" s="4">
        <f>'Expenditure detail'!I303-'Budget summary'!I14</f>
        <v>2299314</v>
      </c>
      <c r="J15" s="4">
        <f>'Expenditure detail'!J303-'Budget summary'!J14</f>
        <v>3547744</v>
      </c>
      <c r="K15" s="4">
        <f>'Expenditure detail'!K303-'Budget summary'!K14</f>
        <v>4672563</v>
      </c>
      <c r="L15" s="4">
        <f>'Expenditure detail'!L303-'Budget summary'!L14</f>
        <v>3570422</v>
      </c>
      <c r="M15" s="4">
        <f>'Expenditure detail'!M303-'Budget summary'!M14</f>
        <v>6072886</v>
      </c>
      <c r="N15" s="4">
        <f>'Expenditure detail'!N303-'Budget summary'!N14</f>
        <v>6243003</v>
      </c>
      <c r="O15" s="4">
        <f>'Expenditure detail'!O303-'Budget summary'!O14</f>
        <v>5881552</v>
      </c>
      <c r="P15" s="4">
        <f>'Expenditure detail'!P303-'Budget summary'!P14</f>
        <v>17187100</v>
      </c>
      <c r="Q15" s="4">
        <f>'Expenditure detail'!Q303-'Budget summary'!Q14</f>
        <v>4825800</v>
      </c>
      <c r="R15" s="4">
        <f>'Expenditure detail'!R303-'Budget summary'!R14</f>
        <v>4866600</v>
      </c>
      <c r="S15" s="4">
        <f>'Expenditure detail'!S303-'Budget summary'!S14</f>
        <v>3953900</v>
      </c>
      <c r="AB15" s="19"/>
      <c r="AC15" s="19"/>
      <c r="AD15" s="19"/>
    </row>
    <row r="16" spans="1:30">
      <c r="A16" s="5" t="s">
        <v>105</v>
      </c>
      <c r="B16" s="4">
        <f>'Expenditure detail'!B362</f>
        <v>63116975</v>
      </c>
      <c r="C16" s="4">
        <f>'Expenditure detail'!C362</f>
        <v>60065317</v>
      </c>
      <c r="D16" s="4">
        <f>'Expenditure detail'!D362</f>
        <v>60930940</v>
      </c>
      <c r="E16" s="4">
        <f>'Expenditure detail'!E362</f>
        <v>63040574</v>
      </c>
      <c r="F16" s="4">
        <f>'Expenditure detail'!F362</f>
        <v>60523635</v>
      </c>
      <c r="G16" s="4">
        <f>'Expenditure detail'!G362</f>
        <v>53083656</v>
      </c>
      <c r="H16" s="4">
        <f>'Expenditure detail'!H362</f>
        <v>59690519</v>
      </c>
      <c r="I16" s="4">
        <f>'Expenditure detail'!I362</f>
        <v>46732372</v>
      </c>
      <c r="J16" s="4">
        <f>'Expenditure detail'!J362</f>
        <v>45592653</v>
      </c>
      <c r="K16" s="4">
        <f>'Expenditure detail'!K362</f>
        <v>48017618</v>
      </c>
      <c r="L16" s="4">
        <f>'Expenditure detail'!L362</f>
        <v>43616292</v>
      </c>
      <c r="M16" s="4">
        <f>'Expenditure detail'!M362</f>
        <v>43211811</v>
      </c>
      <c r="N16" s="4">
        <f>'Expenditure detail'!N362</f>
        <v>31070610</v>
      </c>
      <c r="O16" s="4">
        <f>'Expenditure detail'!O362</f>
        <v>26803710</v>
      </c>
      <c r="P16" s="4">
        <f>'Expenditure detail'!P362</f>
        <v>33784000</v>
      </c>
      <c r="Q16" s="4">
        <f>'Expenditure detail'!Q362</f>
        <v>24929000</v>
      </c>
      <c r="R16" s="4">
        <f>'Expenditure detail'!R362</f>
        <v>20819000</v>
      </c>
      <c r="S16" s="4">
        <f>'Expenditure detail'!S362</f>
        <v>23245100</v>
      </c>
      <c r="AB16" s="19"/>
      <c r="AC16" s="19"/>
      <c r="AD16" s="19"/>
    </row>
    <row r="17" spans="1:30">
      <c r="A17" s="5" t="s">
        <v>106</v>
      </c>
      <c r="B17" s="4">
        <f>'Expenditure detail'!B403</f>
        <v>33587965</v>
      </c>
      <c r="C17" s="4">
        <f>'Expenditure detail'!C403</f>
        <v>32466822</v>
      </c>
      <c r="D17" s="4">
        <f>'Expenditure detail'!D403</f>
        <v>30073425</v>
      </c>
      <c r="E17" s="4">
        <f>'Expenditure detail'!E403</f>
        <v>30967782</v>
      </c>
      <c r="F17" s="4">
        <f>'Expenditure detail'!F403</f>
        <v>29673321</v>
      </c>
      <c r="G17" s="4">
        <f>'Expenditure detail'!G403</f>
        <v>30902421</v>
      </c>
      <c r="H17" s="4">
        <f>'Expenditure detail'!H403</f>
        <v>31120749</v>
      </c>
      <c r="I17" s="4">
        <f>'Expenditure detail'!I403</f>
        <v>26300429</v>
      </c>
      <c r="J17" s="4">
        <f>'Expenditure detail'!J403</f>
        <v>27366813</v>
      </c>
      <c r="K17" s="4">
        <f>'Expenditure detail'!K403</f>
        <v>30490091</v>
      </c>
      <c r="L17" s="4">
        <f>'Expenditure detail'!L403</f>
        <v>25944375</v>
      </c>
      <c r="M17" s="4">
        <f>'Expenditure detail'!M403</f>
        <v>24103379</v>
      </c>
      <c r="N17" s="4">
        <f>'Expenditure detail'!N403</f>
        <v>20747028</v>
      </c>
      <c r="O17" s="4">
        <f>'Expenditure detail'!O403</f>
        <v>19194454</v>
      </c>
      <c r="P17" s="4">
        <f>'Expenditure detail'!P403</f>
        <v>19045100</v>
      </c>
      <c r="Q17" s="4">
        <f>'Expenditure detail'!Q403</f>
        <v>16069400</v>
      </c>
      <c r="R17" s="4">
        <f>'Expenditure detail'!R403</f>
        <v>16800000</v>
      </c>
      <c r="S17" s="4">
        <f>'Expenditure detail'!S403</f>
        <v>15380700</v>
      </c>
      <c r="AB17" s="19"/>
      <c r="AC17" s="19"/>
      <c r="AD17" s="19"/>
    </row>
    <row r="18" spans="1:30">
      <c r="A18" s="5" t="s">
        <v>107</v>
      </c>
      <c r="B18" s="4">
        <f>'Expenditure detail'!B425</f>
        <v>19442175</v>
      </c>
      <c r="C18" s="4">
        <f>'Expenditure detail'!C425</f>
        <v>17217116</v>
      </c>
      <c r="D18" s="4">
        <f>'Expenditure detail'!D425</f>
        <v>13613054</v>
      </c>
      <c r="E18" s="4">
        <f>'Expenditure detail'!E425</f>
        <v>18815396</v>
      </c>
      <c r="F18" s="4">
        <f>'Expenditure detail'!F425</f>
        <v>13721435</v>
      </c>
      <c r="G18" s="4">
        <f>'Expenditure detail'!G425</f>
        <v>14911102</v>
      </c>
      <c r="H18" s="4">
        <f>'Expenditure detail'!H425</f>
        <v>23399237</v>
      </c>
      <c r="I18" s="4">
        <f>'Expenditure detail'!I425</f>
        <v>22079691</v>
      </c>
      <c r="J18" s="4">
        <f>'Expenditure detail'!J425</f>
        <v>25852400</v>
      </c>
      <c r="K18" s="4">
        <f>'Expenditure detail'!K425</f>
        <v>30592058</v>
      </c>
      <c r="L18" s="4">
        <f>'Expenditure detail'!L425</f>
        <v>31487083</v>
      </c>
      <c r="M18" s="4">
        <f>'Expenditure detail'!M425</f>
        <v>36694596</v>
      </c>
      <c r="N18" s="4">
        <f>'Expenditure detail'!N425</f>
        <v>37773362</v>
      </c>
      <c r="O18" s="4">
        <f>'Expenditure detail'!O425</f>
        <v>34024587</v>
      </c>
      <c r="P18" s="4">
        <f>'Expenditure detail'!P425</f>
        <v>33133800</v>
      </c>
      <c r="Q18" s="4">
        <f>'Expenditure detail'!Q425</f>
        <v>28541900</v>
      </c>
      <c r="R18" s="4">
        <f>'Expenditure detail'!R425</f>
        <v>25094900</v>
      </c>
      <c r="S18" s="4">
        <f>'Expenditure detail'!S425</f>
        <v>21525300</v>
      </c>
      <c r="AB18" s="19"/>
      <c r="AC18" s="19"/>
      <c r="AD18" s="19"/>
    </row>
    <row r="19" spans="1:30">
      <c r="A19" s="5" t="s">
        <v>109</v>
      </c>
      <c r="B19" s="4">
        <f>'Expenditure detail'!B480</f>
        <v>4573127</v>
      </c>
      <c r="C19" s="4">
        <f>'Expenditure detail'!C480</f>
        <v>4468127</v>
      </c>
      <c r="D19" s="4">
        <f>'Expenditure detail'!D480</f>
        <v>7292539</v>
      </c>
      <c r="E19" s="4">
        <f>'Expenditure detail'!E480</f>
        <v>4468127</v>
      </c>
      <c r="F19" s="4">
        <f>'Expenditure detail'!F480</f>
        <v>4848016</v>
      </c>
      <c r="G19" s="4">
        <f>'Expenditure detail'!G480</f>
        <v>5510674</v>
      </c>
      <c r="H19" s="4">
        <f>'Expenditure detail'!H480</f>
        <v>4488727</v>
      </c>
      <c r="I19" s="4">
        <f>'Expenditure detail'!I480</f>
        <v>4543558</v>
      </c>
      <c r="J19" s="4">
        <f>'Expenditure detail'!J480</f>
        <v>3423664</v>
      </c>
      <c r="K19" s="4">
        <f>'Expenditure detail'!K480</f>
        <v>5509831</v>
      </c>
      <c r="L19" s="4">
        <f>'Expenditure detail'!L480</f>
        <v>8233184</v>
      </c>
      <c r="M19" s="4">
        <f>'Expenditure detail'!M480</f>
        <v>6707492</v>
      </c>
      <c r="N19" s="4">
        <f>'Expenditure detail'!N480</f>
        <v>6701950</v>
      </c>
      <c r="O19" s="4">
        <f>'Expenditure detail'!O480</f>
        <v>5244899</v>
      </c>
      <c r="P19" s="4">
        <f>'Expenditure detail'!P480</f>
        <v>3227600</v>
      </c>
      <c r="Q19" s="4">
        <f>'Expenditure detail'!Q480</f>
        <v>1018000</v>
      </c>
      <c r="R19" s="4">
        <f>'Expenditure detail'!R480</f>
        <v>2466100</v>
      </c>
      <c r="S19" s="4">
        <f>'Expenditure detail'!S480</f>
        <v>2795600</v>
      </c>
      <c r="AB19" s="19"/>
      <c r="AC19" s="19"/>
      <c r="AD19" s="19"/>
    </row>
    <row r="20" spans="1:30">
      <c r="A20" s="5" t="s">
        <v>108</v>
      </c>
      <c r="B20" s="4">
        <f>'Expenditure detail'!B503</f>
        <v>28988208</v>
      </c>
      <c r="C20" s="4">
        <f>'Expenditure detail'!C503</f>
        <v>28936335</v>
      </c>
      <c r="D20" s="4">
        <f>'Expenditure detail'!D503</f>
        <v>33634686</v>
      </c>
      <c r="E20" s="4">
        <f>'Expenditure detail'!E503</f>
        <v>40650621</v>
      </c>
      <c r="F20" s="4">
        <f>'Expenditure detail'!F503</f>
        <v>34169435</v>
      </c>
      <c r="G20" s="4">
        <f>'Expenditure detail'!G503</f>
        <v>25979891</v>
      </c>
      <c r="H20" s="4">
        <f>'Expenditure detail'!H503</f>
        <v>28457582</v>
      </c>
      <c r="I20" s="4">
        <f>'Expenditure detail'!I503</f>
        <v>34220683</v>
      </c>
      <c r="J20" s="4">
        <f>'Expenditure detail'!J503</f>
        <v>38302736</v>
      </c>
      <c r="K20" s="4">
        <f>'Expenditure detail'!K503</f>
        <v>42773607</v>
      </c>
      <c r="L20" s="4">
        <f>'Expenditure detail'!L503</f>
        <v>47580675</v>
      </c>
      <c r="M20" s="4">
        <f>'Expenditure detail'!M503</f>
        <v>40950745</v>
      </c>
      <c r="N20" s="4">
        <f>'Expenditure detail'!N503</f>
        <v>30777747</v>
      </c>
      <c r="O20" s="4">
        <f>'Expenditure detail'!O503</f>
        <v>31764210</v>
      </c>
      <c r="P20" s="4">
        <f>'Expenditure detail'!P503</f>
        <v>29153400</v>
      </c>
      <c r="Q20" s="4">
        <f>'Expenditure detail'!Q503</f>
        <v>26101900</v>
      </c>
      <c r="R20" s="4">
        <f>'Expenditure detail'!R503</f>
        <v>22364600</v>
      </c>
      <c r="S20" s="4">
        <f>'Expenditure detail'!S503</f>
        <v>21399500</v>
      </c>
      <c r="AB20" s="19"/>
      <c r="AC20" s="19"/>
      <c r="AD20" s="19"/>
    </row>
    <row r="21" spans="1:30">
      <c r="A21" s="21" t="s">
        <v>1</v>
      </c>
      <c r="B21" s="4">
        <f t="shared" ref="B21:D21" si="1">SUM(B7:B20)</f>
        <v>2673059142</v>
      </c>
      <c r="C21" s="4">
        <f t="shared" si="1"/>
        <v>2551616061</v>
      </c>
      <c r="D21" s="4">
        <f t="shared" si="1"/>
        <v>2466283172</v>
      </c>
      <c r="E21" s="4">
        <f t="shared" ref="E21:R21" si="2">SUM(E7:E20)</f>
        <v>2440225961</v>
      </c>
      <c r="F21" s="4">
        <f t="shared" si="2"/>
        <v>2385624626</v>
      </c>
      <c r="G21" s="4">
        <f t="shared" si="2"/>
        <v>2214362709</v>
      </c>
      <c r="H21" s="4">
        <f t="shared" si="2"/>
        <v>2122771183</v>
      </c>
      <c r="I21" s="4">
        <f t="shared" si="2"/>
        <v>2096962301</v>
      </c>
      <c r="J21" s="4">
        <f t="shared" si="2"/>
        <v>2176658357</v>
      </c>
      <c r="K21" s="4">
        <f t="shared" si="2"/>
        <v>2144142325</v>
      </c>
      <c r="L21" s="4">
        <f t="shared" si="2"/>
        <v>2038808801</v>
      </c>
      <c r="M21" s="4">
        <f t="shared" si="2"/>
        <v>1910433818</v>
      </c>
      <c r="N21" s="4">
        <f t="shared" si="2"/>
        <v>1767440448</v>
      </c>
      <c r="O21" s="4">
        <f t="shared" si="2"/>
        <v>1630701399</v>
      </c>
      <c r="P21" s="4">
        <f t="shared" si="2"/>
        <v>1575963300</v>
      </c>
      <c r="Q21" s="4">
        <f t="shared" si="2"/>
        <v>1444485900</v>
      </c>
      <c r="R21" s="4">
        <f t="shared" si="2"/>
        <v>1376308900</v>
      </c>
      <c r="S21" s="4">
        <f>SUM(S6:S20)</f>
        <v>1271680100</v>
      </c>
      <c r="AB21" s="19"/>
      <c r="AC21" s="19"/>
      <c r="AD21" s="19"/>
    </row>
    <row r="22" spans="1:30">
      <c r="A22" s="5"/>
      <c r="B22" s="4"/>
      <c r="C22" s="4"/>
      <c r="D22" s="17"/>
      <c r="E22" s="148"/>
      <c r="F22" s="148"/>
      <c r="G22" s="5"/>
      <c r="H22" s="5"/>
      <c r="I22" s="17"/>
      <c r="J22" s="5"/>
      <c r="K22" s="5"/>
      <c r="L22" s="5"/>
      <c r="M22" s="5"/>
      <c r="N22" s="5"/>
      <c r="O22" s="5"/>
      <c r="P22" s="5"/>
      <c r="Q22" s="5"/>
      <c r="R22" s="5"/>
      <c r="T22" s="5"/>
      <c r="AB22" s="5"/>
      <c r="AC22" s="5"/>
      <c r="AD22" s="5"/>
    </row>
    <row r="23" spans="1:30">
      <c r="A23" s="5"/>
      <c r="B23" s="5"/>
      <c r="C23" s="5"/>
      <c r="D23" s="149"/>
      <c r="E23" s="148"/>
      <c r="F23" s="17"/>
      <c r="G23" s="19"/>
      <c r="H23" s="32"/>
      <c r="I23" s="17"/>
      <c r="J23" s="5"/>
      <c r="K23" s="5"/>
      <c r="L23" s="5"/>
      <c r="M23" s="5"/>
      <c r="N23" s="5"/>
      <c r="O23" s="5"/>
      <c r="P23" s="5"/>
      <c r="Q23" s="5"/>
      <c r="R23" s="5"/>
      <c r="S23" s="5"/>
      <c r="T23" s="5"/>
      <c r="U23" s="5"/>
      <c r="W23" s="5"/>
      <c r="X23" s="5"/>
      <c r="Y23" s="5"/>
      <c r="Z23" s="5"/>
      <c r="AA23" s="5"/>
      <c r="AB23" s="5"/>
      <c r="AC23" s="5"/>
      <c r="AD23" s="5"/>
    </row>
    <row r="24" spans="1:30" ht="15.75">
      <c r="A24" s="18" t="s">
        <v>808</v>
      </c>
      <c r="B24" s="69">
        <f t="shared" ref="B24:R24" si="3">B6</f>
        <v>2017</v>
      </c>
      <c r="C24" s="69">
        <f t="shared" si="3"/>
        <v>2016</v>
      </c>
      <c r="D24" s="69">
        <f t="shared" si="3"/>
        <v>2015</v>
      </c>
      <c r="E24" s="69">
        <f t="shared" si="3"/>
        <v>2014</v>
      </c>
      <c r="F24" s="69">
        <f t="shared" si="3"/>
        <v>2013</v>
      </c>
      <c r="G24" s="69">
        <f t="shared" si="3"/>
        <v>2012</v>
      </c>
      <c r="H24" s="69">
        <f t="shared" si="3"/>
        <v>2011</v>
      </c>
      <c r="I24" s="69">
        <f t="shared" si="3"/>
        <v>2010</v>
      </c>
      <c r="J24" s="69">
        <f t="shared" si="3"/>
        <v>2009</v>
      </c>
      <c r="K24" s="69">
        <f t="shared" si="3"/>
        <v>2008</v>
      </c>
      <c r="L24" s="69">
        <f t="shared" si="3"/>
        <v>2007</v>
      </c>
      <c r="M24" s="69">
        <f t="shared" si="3"/>
        <v>2006</v>
      </c>
      <c r="N24" s="69">
        <f t="shared" si="3"/>
        <v>2005</v>
      </c>
      <c r="O24" s="69">
        <f t="shared" si="3"/>
        <v>2004</v>
      </c>
      <c r="P24" s="69">
        <f t="shared" si="3"/>
        <v>2003</v>
      </c>
      <c r="Q24" s="69">
        <f t="shared" si="3"/>
        <v>2002</v>
      </c>
      <c r="R24" s="69">
        <f t="shared" si="3"/>
        <v>2001</v>
      </c>
      <c r="S24" s="69">
        <f>'Revenue detail'!T5</f>
        <v>2000</v>
      </c>
      <c r="T24" s="5"/>
      <c r="U24" s="5"/>
      <c r="W24" s="5"/>
      <c r="X24" s="5"/>
      <c r="Y24" s="5"/>
      <c r="Z24" s="5"/>
      <c r="AA24" s="5"/>
      <c r="AB24" s="5"/>
      <c r="AC24" s="5"/>
      <c r="AD24" s="5"/>
    </row>
    <row r="25" spans="1:30">
      <c r="A25" s="68" t="s">
        <v>809</v>
      </c>
      <c r="B25" s="68"/>
      <c r="C25" s="68"/>
      <c r="D25" s="67"/>
      <c r="E25" s="67"/>
      <c r="F25" s="67"/>
      <c r="G25" s="67"/>
      <c r="H25" s="67"/>
      <c r="I25" s="67"/>
      <c r="J25" s="67"/>
      <c r="K25" s="67"/>
      <c r="L25" s="67"/>
      <c r="M25" s="67"/>
      <c r="N25" s="67"/>
      <c r="O25" s="67"/>
      <c r="P25" s="67"/>
      <c r="Q25" s="67"/>
      <c r="R25" s="67"/>
      <c r="S25" s="67"/>
      <c r="T25" s="5"/>
      <c r="U25" s="5"/>
      <c r="W25" s="5"/>
      <c r="X25" s="5"/>
      <c r="Y25" s="5"/>
      <c r="Z25" s="5"/>
      <c r="AA25" s="5"/>
      <c r="AB25" s="5"/>
      <c r="AC25" s="5"/>
      <c r="AD25" s="5"/>
    </row>
    <row r="26" spans="1:30">
      <c r="A26" s="68" t="s">
        <v>177</v>
      </c>
      <c r="B26" s="67">
        <f>'Revenue detail'!C9</f>
        <v>1948423808</v>
      </c>
      <c r="C26" s="67">
        <f>'Revenue detail'!D9</f>
        <v>1825753345</v>
      </c>
      <c r="D26" s="67">
        <f>'Revenue detail'!E9</f>
        <v>1769098393</v>
      </c>
      <c r="E26" s="67">
        <f>'Revenue detail'!F9</f>
        <v>1717588731</v>
      </c>
      <c r="F26" s="67">
        <f>'Revenue detail'!G9</f>
        <v>1683922285</v>
      </c>
      <c r="G26" s="67">
        <f>'Revenue detail'!H9</f>
        <v>1611434722</v>
      </c>
      <c r="H26" s="67">
        <f>'Revenue detail'!I9</f>
        <v>1611590477</v>
      </c>
      <c r="I26" s="67">
        <f>'Revenue detail'!J9</f>
        <v>1626600722</v>
      </c>
      <c r="J26" s="67">
        <f>'Revenue detail'!K9</f>
        <v>1626600722</v>
      </c>
      <c r="K26" s="67">
        <f>'Revenue detail'!L9</f>
        <v>1586600722</v>
      </c>
      <c r="L26" s="67">
        <f>'Revenue detail'!M9</f>
        <v>1533218089</v>
      </c>
      <c r="M26" s="67">
        <f>'Revenue detail'!N9</f>
        <v>1431337820</v>
      </c>
      <c r="N26" s="67">
        <f>'Revenue detail'!O9</f>
        <v>1322374187</v>
      </c>
      <c r="O26" s="67">
        <f>'Revenue detail'!P9</f>
        <v>1240850321</v>
      </c>
      <c r="P26" s="67">
        <f>'Revenue detail'!Q9</f>
        <v>1168875300</v>
      </c>
      <c r="Q26" s="67">
        <f>'Revenue detail'!R9</f>
        <v>1081428700</v>
      </c>
      <c r="R26" s="67">
        <f>'Revenue detail'!S9</f>
        <v>988000900</v>
      </c>
      <c r="S26" s="67">
        <f>'Revenue detail'!T9</f>
        <v>897412605</v>
      </c>
      <c r="T26" s="5"/>
      <c r="U26" s="5"/>
      <c r="W26" s="5"/>
      <c r="X26" s="5"/>
      <c r="Y26" s="5"/>
      <c r="Z26" s="5"/>
      <c r="AA26" s="5"/>
      <c r="AB26" s="5"/>
      <c r="AC26" s="5"/>
      <c r="AD26" s="5"/>
    </row>
    <row r="27" spans="1:30">
      <c r="A27" s="68" t="s">
        <v>658</v>
      </c>
      <c r="B27" s="4">
        <f t="shared" ref="B27" si="4">SUBTOTAL(9,B28:B34)</f>
        <v>593626527</v>
      </c>
      <c r="C27" s="4">
        <f t="shared" ref="C27:D27" si="5">SUBTOTAL(9,C28:C34)</f>
        <v>588126527</v>
      </c>
      <c r="D27" s="4">
        <f t="shared" si="5"/>
        <v>580500452</v>
      </c>
      <c r="E27" s="4">
        <f t="shared" ref="E27:R27" si="6">SUBTOTAL(9,E28:E34)</f>
        <v>558872800</v>
      </c>
      <c r="F27" s="4">
        <f t="shared" si="6"/>
        <v>549948653</v>
      </c>
      <c r="G27" s="4">
        <f t="shared" si="6"/>
        <v>478390365</v>
      </c>
      <c r="H27" s="4">
        <f t="shared" si="6"/>
        <v>450198583</v>
      </c>
      <c r="I27" s="4">
        <f t="shared" si="6"/>
        <v>400431093</v>
      </c>
      <c r="J27" s="4">
        <f t="shared" si="6"/>
        <v>448024893</v>
      </c>
      <c r="K27" s="4">
        <f t="shared" si="6"/>
        <v>443540549</v>
      </c>
      <c r="L27" s="4">
        <f t="shared" si="6"/>
        <v>439670043</v>
      </c>
      <c r="M27" s="4">
        <f t="shared" si="6"/>
        <v>380759387</v>
      </c>
      <c r="N27" s="4">
        <f t="shared" si="6"/>
        <v>365591151</v>
      </c>
      <c r="O27" s="4">
        <f t="shared" si="6"/>
        <v>315078030</v>
      </c>
      <c r="P27" s="4">
        <f t="shared" si="6"/>
        <v>298424800</v>
      </c>
      <c r="Q27" s="4">
        <f t="shared" si="6"/>
        <v>319445400</v>
      </c>
      <c r="R27" s="4">
        <f t="shared" si="6"/>
        <v>316908400</v>
      </c>
      <c r="S27" s="67"/>
      <c r="T27" s="5"/>
      <c r="U27" s="5"/>
      <c r="W27" s="5"/>
      <c r="X27" s="5"/>
      <c r="Y27" s="5"/>
      <c r="Z27" s="5"/>
      <c r="AA27" s="5"/>
      <c r="AB27" s="5"/>
      <c r="AC27" s="5"/>
      <c r="AD27" s="5"/>
    </row>
    <row r="28" spans="1:30">
      <c r="A28" s="68" t="s">
        <v>180</v>
      </c>
      <c r="B28" s="67">
        <f>'Revenue detail'!C14</f>
        <v>187816374</v>
      </c>
      <c r="C28" s="67">
        <f>'Revenue detail'!D14</f>
        <v>182316374</v>
      </c>
      <c r="D28" s="67">
        <f>'Revenue detail'!E14</f>
        <v>180733817</v>
      </c>
      <c r="E28" s="67">
        <f>'Revenue detail'!F14</f>
        <v>171296959</v>
      </c>
      <c r="F28" s="67">
        <f>'Revenue detail'!G14</f>
        <v>166833237</v>
      </c>
      <c r="G28" s="67">
        <f>'Revenue detail'!H14</f>
        <v>158278002</v>
      </c>
      <c r="H28" s="67">
        <f>'Revenue detail'!I14</f>
        <v>152174593</v>
      </c>
      <c r="I28" s="67">
        <f>'Revenue detail'!J14</f>
        <v>144856335</v>
      </c>
      <c r="J28" s="67">
        <f>'Revenue detail'!K14</f>
        <v>147449587</v>
      </c>
      <c r="K28" s="67">
        <f>'Revenue detail'!L14</f>
        <v>155185870</v>
      </c>
      <c r="L28" s="67">
        <f>'Revenue detail'!M14</f>
        <v>166068926</v>
      </c>
      <c r="M28" s="67">
        <f>'Revenue detail'!N14</f>
        <v>150848905</v>
      </c>
      <c r="N28" s="67">
        <f>'Revenue detail'!O14</f>
        <v>141588156</v>
      </c>
      <c r="O28" s="67">
        <f>'Revenue detail'!P14</f>
        <v>120800001</v>
      </c>
      <c r="P28" s="67">
        <f>'Revenue detail'!Q14</f>
        <v>108484600</v>
      </c>
      <c r="Q28" s="67">
        <f>'Revenue detail'!R14</f>
        <v>104422300</v>
      </c>
      <c r="R28" s="67">
        <f>'Revenue detail'!S14</f>
        <v>103934400</v>
      </c>
      <c r="S28" s="67">
        <f>'Revenue detail'!T14</f>
        <v>97745152</v>
      </c>
      <c r="T28" s="5"/>
      <c r="U28" s="5"/>
      <c r="W28" s="5"/>
      <c r="X28" s="5"/>
      <c r="Y28" s="5"/>
      <c r="Z28" s="5"/>
      <c r="AA28" s="5"/>
      <c r="AB28" s="5"/>
      <c r="AC28" s="5"/>
      <c r="AD28" s="5"/>
    </row>
    <row r="29" spans="1:30">
      <c r="A29" s="68" t="s">
        <v>182</v>
      </c>
      <c r="B29" s="67">
        <f>'Revenue detail'!C17</f>
        <v>374952260</v>
      </c>
      <c r="C29" s="67">
        <f>'Revenue detail'!D17</f>
        <v>370290187</v>
      </c>
      <c r="D29" s="67">
        <f>'Revenue detail'!E17</f>
        <v>367540628</v>
      </c>
      <c r="E29" s="67">
        <f>'Revenue detail'!F17</f>
        <v>346569329</v>
      </c>
      <c r="F29" s="67">
        <f>'Revenue detail'!G17</f>
        <v>348419685</v>
      </c>
      <c r="G29" s="67">
        <f>'Revenue detail'!H17</f>
        <v>291130238</v>
      </c>
      <c r="H29" s="67">
        <f>'Revenue detail'!I17</f>
        <v>275847626</v>
      </c>
      <c r="I29" s="67">
        <f>'Revenue detail'!J17</f>
        <v>233755768</v>
      </c>
      <c r="J29" s="67">
        <f>'Revenue detail'!K17</f>
        <v>275653189</v>
      </c>
      <c r="K29" s="67">
        <f>'Revenue detail'!L17</f>
        <v>248983478</v>
      </c>
      <c r="L29" s="67">
        <f>'Revenue detail'!M17</f>
        <v>243387337</v>
      </c>
      <c r="M29" s="67">
        <f>'Revenue detail'!N17</f>
        <v>203089271</v>
      </c>
      <c r="N29" s="67">
        <f>'Revenue detail'!O17</f>
        <v>201024859</v>
      </c>
      <c r="O29" s="67">
        <f>'Revenue detail'!P17</f>
        <v>173242151</v>
      </c>
      <c r="P29" s="67">
        <f>'Revenue detail'!Q17</f>
        <v>170146100</v>
      </c>
      <c r="Q29" s="67">
        <f>'Revenue detail'!R17</f>
        <v>179250500</v>
      </c>
      <c r="R29" s="67">
        <f>'Revenue detail'!S17</f>
        <v>180611400</v>
      </c>
      <c r="S29" s="67">
        <f>'Revenue detail'!T17</f>
        <v>179092729</v>
      </c>
      <c r="T29" s="5"/>
      <c r="U29" s="5"/>
      <c r="W29" s="5"/>
      <c r="X29" s="5"/>
      <c r="Y29" s="5"/>
      <c r="Z29" s="5"/>
      <c r="AA29" s="5"/>
      <c r="AB29" s="5"/>
      <c r="AC29" s="5"/>
      <c r="AD29" s="5"/>
    </row>
    <row r="30" spans="1:30">
      <c r="A30" s="68" t="s">
        <v>191</v>
      </c>
      <c r="B30" s="67">
        <f>'Revenue detail'!C28</f>
        <v>2739951</v>
      </c>
      <c r="C30" s="67">
        <f>'Revenue detail'!D28</f>
        <v>7402024</v>
      </c>
      <c r="D30" s="67">
        <f>'Revenue detail'!E28</f>
        <v>2703834</v>
      </c>
      <c r="E30" s="67">
        <f>'Revenue detail'!F28</f>
        <v>12881551</v>
      </c>
      <c r="F30" s="67">
        <f>'Revenue detail'!G28</f>
        <v>6536798</v>
      </c>
      <c r="G30" s="67">
        <f>'Revenue detail'!H28</f>
        <v>5923406</v>
      </c>
      <c r="H30" s="67">
        <f>'Revenue detail'!I28</f>
        <v>2122453</v>
      </c>
      <c r="I30" s="67">
        <f>'Revenue detail'!J28</f>
        <v>1796173</v>
      </c>
      <c r="J30" s="67">
        <f>'Revenue detail'!K28</f>
        <v>1681593</v>
      </c>
      <c r="K30" s="67">
        <f>'Revenue detail'!L28</f>
        <v>13924134</v>
      </c>
      <c r="L30" s="67">
        <f>'Revenue detail'!M28</f>
        <v>6270988</v>
      </c>
      <c r="M30" s="67">
        <f>'Revenue detail'!N28</f>
        <v>4605975</v>
      </c>
      <c r="N30" s="67">
        <f>'Revenue detail'!O28</f>
        <v>1425066</v>
      </c>
      <c r="O30" s="67">
        <f>'Revenue detail'!P28</f>
        <v>2892642</v>
      </c>
      <c r="P30" s="67">
        <f>'Revenue detail'!Q28</f>
        <v>198300</v>
      </c>
      <c r="Q30" s="67">
        <f>'Revenue detail'!R28</f>
        <v>6817500</v>
      </c>
      <c r="R30" s="67">
        <f>'Revenue detail'!S28</f>
        <v>4973400</v>
      </c>
      <c r="S30" s="67">
        <f>'Revenue detail'!T28</f>
        <v>0</v>
      </c>
      <c r="T30" s="5"/>
      <c r="U30" s="5"/>
      <c r="W30" s="5"/>
      <c r="X30" s="5"/>
      <c r="Y30" s="5"/>
      <c r="Z30" s="5"/>
      <c r="AA30" s="5"/>
      <c r="AB30" s="5"/>
      <c r="AC30" s="5"/>
      <c r="AD30" s="5"/>
    </row>
    <row r="31" spans="1:30">
      <c r="A31" s="68" t="s">
        <v>192</v>
      </c>
      <c r="B31" s="67">
        <f>'Revenue detail'!C36</f>
        <v>347548</v>
      </c>
      <c r="C31" s="67">
        <f>'Revenue detail'!D36</f>
        <v>347548</v>
      </c>
      <c r="D31" s="67">
        <f>'Revenue detail'!E36</f>
        <v>340733</v>
      </c>
      <c r="E31" s="67">
        <f>'Revenue detail'!F36</f>
        <v>368794</v>
      </c>
      <c r="F31" s="67">
        <f>'Revenue detail'!G36</f>
        <v>357211</v>
      </c>
      <c r="G31" s="67">
        <f>'Revenue detail'!H36</f>
        <v>266605</v>
      </c>
      <c r="H31" s="67">
        <f>'Revenue detail'!I36</f>
        <v>198029</v>
      </c>
      <c r="I31" s="67">
        <f>'Revenue detail'!J36</f>
        <v>151074</v>
      </c>
      <c r="J31" s="67">
        <f>'Revenue detail'!K36</f>
        <v>130440</v>
      </c>
      <c r="K31" s="67">
        <f>'Revenue detail'!L36</f>
        <v>121502</v>
      </c>
      <c r="L31" s="67">
        <f>'Revenue detail'!M36</f>
        <v>182698</v>
      </c>
      <c r="M31" s="67">
        <f>'Revenue detail'!N36</f>
        <v>111835</v>
      </c>
      <c r="N31" s="67">
        <f>'Revenue detail'!O36</f>
        <v>181249</v>
      </c>
      <c r="O31" s="67">
        <f>'Revenue detail'!P36</f>
        <v>168389</v>
      </c>
      <c r="P31" s="67">
        <f>'Revenue detail'!Q36</f>
        <v>1302700</v>
      </c>
      <c r="Q31" s="67">
        <f>'Revenue detail'!R36</f>
        <v>1397600</v>
      </c>
      <c r="R31" s="67">
        <f>'Revenue detail'!S36</f>
        <v>1407200</v>
      </c>
      <c r="S31" s="67">
        <f>'Revenue detail'!T36</f>
        <v>0</v>
      </c>
    </row>
    <row r="32" spans="1:30">
      <c r="A32" s="68" t="s">
        <v>194</v>
      </c>
      <c r="B32" s="67">
        <f>'Revenue detail'!C39</f>
        <v>86467</v>
      </c>
      <c r="C32" s="67">
        <f>'Revenue detail'!D39</f>
        <v>86467</v>
      </c>
      <c r="D32" s="67">
        <f>'Revenue detail'!E39</f>
        <v>0</v>
      </c>
      <c r="E32" s="67">
        <f>'Revenue detail'!F39</f>
        <v>0</v>
      </c>
      <c r="F32" s="67">
        <f>'Revenue detail'!G39</f>
        <v>99688</v>
      </c>
      <c r="G32" s="67">
        <f>'Revenue detail'!H39</f>
        <v>205890</v>
      </c>
      <c r="H32" s="67">
        <f>'Revenue detail'!I39</f>
        <v>217521</v>
      </c>
      <c r="I32" s="67">
        <f>'Revenue detail'!J39</f>
        <v>255509</v>
      </c>
      <c r="J32" s="67">
        <f>'Revenue detail'!K39</f>
        <v>241578</v>
      </c>
      <c r="K32" s="67">
        <f>'Revenue detail'!L39</f>
        <v>778373</v>
      </c>
      <c r="L32" s="67">
        <f>'Revenue detail'!M39</f>
        <v>856568</v>
      </c>
      <c r="M32" s="67">
        <f>'Revenue detail'!N39</f>
        <v>784989</v>
      </c>
      <c r="N32" s="67">
        <f>'Revenue detail'!O39</f>
        <v>751660</v>
      </c>
      <c r="O32" s="67">
        <f>'Revenue detail'!P39</f>
        <v>1071657</v>
      </c>
      <c r="P32" s="67">
        <f>'Revenue detail'!Q39</f>
        <v>1226500</v>
      </c>
      <c r="Q32" s="67">
        <f>'Revenue detail'!R39</f>
        <v>1522500</v>
      </c>
      <c r="R32" s="67">
        <f>'Revenue detail'!S39</f>
        <v>1468600</v>
      </c>
      <c r="S32" s="67">
        <f>'Revenue detail'!T39</f>
        <v>12506564</v>
      </c>
    </row>
    <row r="33" spans="1:19">
      <c r="A33" s="68" t="s">
        <v>197</v>
      </c>
      <c r="B33" s="67">
        <f>'Revenue detail'!C43</f>
        <v>980549</v>
      </c>
      <c r="C33" s="67">
        <f>'Revenue detail'!D43</f>
        <v>980549</v>
      </c>
      <c r="D33" s="67">
        <f>'Revenue detail'!E43</f>
        <v>1068809</v>
      </c>
      <c r="E33" s="67">
        <f>'Revenue detail'!F43</f>
        <v>1130201</v>
      </c>
      <c r="F33" s="67">
        <f>'Revenue detail'!G43</f>
        <v>1121101</v>
      </c>
      <c r="G33" s="67">
        <f>'Revenue detail'!H43</f>
        <v>1152207</v>
      </c>
      <c r="H33" s="67">
        <f>'Revenue detail'!I43</f>
        <v>1332825</v>
      </c>
      <c r="I33" s="67">
        <f>'Revenue detail'!J43</f>
        <v>1230901</v>
      </c>
      <c r="J33" s="67">
        <f>'Revenue detail'!K43</f>
        <v>1002355</v>
      </c>
      <c r="K33" s="67">
        <f>'Revenue detail'!L43</f>
        <v>920870</v>
      </c>
      <c r="L33" s="67">
        <f>'Revenue detail'!M43</f>
        <v>397647</v>
      </c>
      <c r="M33" s="67">
        <f>'Revenue detail'!N43</f>
        <v>249115</v>
      </c>
      <c r="N33" s="67">
        <f>'Revenue detail'!O43</f>
        <v>58242</v>
      </c>
      <c r="O33" s="67">
        <f>'Revenue detail'!P43</f>
        <v>85889</v>
      </c>
      <c r="P33" s="67">
        <f>'Revenue detail'!Q43</f>
        <v>109900</v>
      </c>
      <c r="Q33" s="67">
        <f>'Revenue detail'!R43</f>
        <v>192600</v>
      </c>
      <c r="R33" s="67">
        <f>'Revenue detail'!S43</f>
        <v>129199.99999999999</v>
      </c>
      <c r="S33" s="67">
        <f>'Revenue detail'!T43</f>
        <v>47617</v>
      </c>
    </row>
    <row r="34" spans="1:19">
      <c r="A34" s="68" t="s">
        <v>199</v>
      </c>
      <c r="B34" s="67">
        <f>'Revenue detail'!C46</f>
        <v>26703378</v>
      </c>
      <c r="C34" s="67">
        <f>'Revenue detail'!D46</f>
        <v>26703378</v>
      </c>
      <c r="D34" s="67">
        <f>'Revenue detail'!E46</f>
        <v>28112631</v>
      </c>
      <c r="E34" s="67">
        <f>'Revenue detail'!F46</f>
        <v>26625966</v>
      </c>
      <c r="F34" s="67">
        <f>'Revenue detail'!G46</f>
        <v>26580933</v>
      </c>
      <c r="G34" s="67">
        <f>'Revenue detail'!H46</f>
        <v>21434017</v>
      </c>
      <c r="H34" s="67">
        <f>'Revenue detail'!I46</f>
        <v>18305536</v>
      </c>
      <c r="I34" s="67">
        <f>'Revenue detail'!J46</f>
        <v>18385333</v>
      </c>
      <c r="J34" s="67">
        <f>'Revenue detail'!K46</f>
        <v>21866151</v>
      </c>
      <c r="K34" s="67">
        <f>'Revenue detail'!L46</f>
        <v>23626322</v>
      </c>
      <c r="L34" s="24">
        <f>'Revenue detail'!M46</f>
        <v>22505879</v>
      </c>
      <c r="M34" s="24">
        <f>'Revenue detail'!N46</f>
        <v>21069297</v>
      </c>
      <c r="N34" s="24">
        <f>'Revenue detail'!O46</f>
        <v>20561919</v>
      </c>
      <c r="O34" s="24">
        <f>'Revenue detail'!P46</f>
        <v>16817301</v>
      </c>
      <c r="P34" s="24">
        <f>'Revenue detail'!Q46</f>
        <v>16956700</v>
      </c>
      <c r="Q34" s="24">
        <f>'Revenue detail'!R46</f>
        <v>25842400</v>
      </c>
      <c r="R34" s="24">
        <f>'Revenue detail'!S46</f>
        <v>24384200</v>
      </c>
      <c r="S34" s="24">
        <f>'Revenue detail'!T46</f>
        <v>0</v>
      </c>
    </row>
    <row r="35" spans="1:19">
      <c r="A35" s="68" t="s">
        <v>660</v>
      </c>
      <c r="B35" s="67"/>
      <c r="C35" s="67"/>
      <c r="D35" s="67"/>
      <c r="E35" s="67"/>
      <c r="F35" s="24"/>
      <c r="G35" s="24"/>
      <c r="H35" s="24"/>
      <c r="I35" s="24"/>
      <c r="J35" s="24"/>
      <c r="K35" s="24"/>
      <c r="L35" s="24"/>
      <c r="M35" s="24"/>
      <c r="N35" s="24"/>
      <c r="O35" s="24"/>
      <c r="P35" s="24"/>
      <c r="Q35" s="24"/>
      <c r="R35" s="24"/>
      <c r="S35" s="24"/>
    </row>
    <row r="36" spans="1:19">
      <c r="A36" s="68" t="s">
        <v>208</v>
      </c>
      <c r="B36" s="67">
        <f>'Revenue detail'!C60</f>
        <v>3248131</v>
      </c>
      <c r="C36" s="67">
        <f>'Revenue detail'!D60</f>
        <v>3248131</v>
      </c>
      <c r="D36" s="67">
        <f>'Revenue detail'!E60</f>
        <v>2725871</v>
      </c>
      <c r="E36" s="67">
        <f>'Revenue detail'!F60</f>
        <v>2502707</v>
      </c>
      <c r="F36" s="24">
        <f>'Revenue detail'!G60</f>
        <v>3669090</v>
      </c>
      <c r="G36" s="24">
        <f>'Revenue detail'!H60</f>
        <v>3893322</v>
      </c>
      <c r="H36" s="24">
        <f>'Revenue detail'!I60</f>
        <v>4468447</v>
      </c>
      <c r="I36" s="24">
        <f>'Revenue detail'!J60</f>
        <v>4159466</v>
      </c>
      <c r="J36" s="24">
        <f>'Revenue detail'!K60</f>
        <v>4533029</v>
      </c>
      <c r="K36" s="24">
        <f>'Revenue detail'!L60</f>
        <v>3939992</v>
      </c>
      <c r="L36" s="24">
        <f>'Revenue detail'!M60</f>
        <v>7106840</v>
      </c>
      <c r="M36" s="24">
        <f>'Revenue detail'!N60</f>
        <v>586814</v>
      </c>
      <c r="N36" s="24">
        <f>'Revenue detail'!O60</f>
        <v>4021127</v>
      </c>
      <c r="O36" s="24">
        <f>'Revenue detail'!P60</f>
        <v>4172237</v>
      </c>
      <c r="P36" s="24">
        <f>'Revenue detail'!Q60</f>
        <v>3658200</v>
      </c>
      <c r="Q36" s="24">
        <f>'Revenue detail'!R60</f>
        <v>3528700</v>
      </c>
      <c r="R36" s="24">
        <f>'Revenue detail'!S60</f>
        <v>3350400</v>
      </c>
      <c r="S36" s="24">
        <f>'Revenue detail'!T60</f>
        <v>2300000</v>
      </c>
    </row>
    <row r="37" spans="1:19">
      <c r="A37" s="68" t="s">
        <v>211</v>
      </c>
      <c r="B37" s="67">
        <f>'Revenue detail'!C64</f>
        <v>2429123</v>
      </c>
      <c r="C37" s="67">
        <f>'Revenue detail'!D64</f>
        <v>2429123</v>
      </c>
      <c r="D37" s="67">
        <f>'Revenue detail'!E64</f>
        <v>2575565</v>
      </c>
      <c r="E37" s="67">
        <f>'Revenue detail'!F64</f>
        <v>2461154</v>
      </c>
      <c r="F37" s="24">
        <f>'Revenue detail'!G64</f>
        <v>3446847</v>
      </c>
      <c r="G37" s="24">
        <f>'Revenue detail'!H64</f>
        <v>23682918</v>
      </c>
      <c r="H37" s="24">
        <f>'Revenue detail'!I64</f>
        <v>25691095</v>
      </c>
      <c r="I37" s="24">
        <f>'Revenue detail'!J64</f>
        <v>27594197</v>
      </c>
      <c r="J37" s="24">
        <f>'Revenue detail'!K64</f>
        <v>3151601</v>
      </c>
      <c r="K37" s="24">
        <f>'Revenue detail'!L64</f>
        <v>2751725</v>
      </c>
      <c r="L37" s="24">
        <f>'Revenue detail'!M64</f>
        <v>2681908</v>
      </c>
      <c r="M37" s="24">
        <f>'Revenue detail'!N64</f>
        <v>3179116</v>
      </c>
      <c r="N37" s="24">
        <f>'Revenue detail'!O64</f>
        <v>2789801</v>
      </c>
      <c r="O37" s="24">
        <f>'Revenue detail'!P64</f>
        <v>3395486</v>
      </c>
      <c r="P37" s="24">
        <f>'Revenue detail'!Q64</f>
        <v>6756800</v>
      </c>
      <c r="Q37" s="24">
        <f>'Revenue detail'!R64</f>
        <v>6628800</v>
      </c>
      <c r="R37" s="24">
        <f>'Revenue detail'!S64</f>
        <v>6247600</v>
      </c>
      <c r="S37" s="24">
        <f>'Revenue detail'!T64</f>
        <v>7000857</v>
      </c>
    </row>
    <row r="38" spans="1:19">
      <c r="A38" s="68" t="s">
        <v>810</v>
      </c>
      <c r="B38" s="67">
        <f>'Revenue detail'!C78</f>
        <v>2500000</v>
      </c>
      <c r="C38" s="67">
        <f>'Revenue detail'!D78</f>
        <v>2500000</v>
      </c>
      <c r="D38" s="67">
        <f>'Revenue detail'!E78</f>
        <v>1941223</v>
      </c>
      <c r="E38" s="67">
        <f>'Revenue detail'!F78</f>
        <v>2165685</v>
      </c>
      <c r="F38" s="24">
        <f>'Revenue detail'!G78</f>
        <v>2347472</v>
      </c>
      <c r="G38" s="24">
        <f>'Revenue detail'!H78</f>
        <v>2515417</v>
      </c>
      <c r="H38" s="24">
        <f>'Revenue detail'!I78</f>
        <v>2547335</v>
      </c>
      <c r="I38" s="24">
        <f>'Revenue detail'!J78</f>
        <v>3752670</v>
      </c>
      <c r="J38" s="24">
        <f>'Revenue detail'!K78</f>
        <v>4546884</v>
      </c>
      <c r="K38" s="24">
        <f>'Revenue detail'!L78</f>
        <v>3106013</v>
      </c>
      <c r="L38" s="24">
        <f>'Revenue detail'!M78</f>
        <v>4074267</v>
      </c>
      <c r="M38" s="24">
        <f>'Revenue detail'!N78</f>
        <v>4324857</v>
      </c>
      <c r="N38" s="24">
        <f>'Revenue detail'!O78</f>
        <v>4279474</v>
      </c>
      <c r="O38" s="24">
        <f>'Revenue detail'!P78</f>
        <v>4200000</v>
      </c>
      <c r="P38" s="24">
        <f>'Revenue detail'!Q78</f>
        <v>3197800</v>
      </c>
      <c r="Q38" s="24">
        <f>'Revenue detail'!R78</f>
        <v>3489200</v>
      </c>
      <c r="R38" s="24">
        <f>'Revenue detail'!S78</f>
        <v>2701500</v>
      </c>
      <c r="S38" s="24">
        <f>'Revenue detail'!T78</f>
        <v>0</v>
      </c>
    </row>
    <row r="39" spans="1:19">
      <c r="A39" s="68" t="s">
        <v>219</v>
      </c>
      <c r="B39" s="67">
        <f>'Revenue detail'!C80</f>
        <v>33523856</v>
      </c>
      <c r="C39" s="67">
        <f>'Revenue detail'!D80</f>
        <v>33523856</v>
      </c>
      <c r="D39" s="67">
        <f>'Revenue detail'!E80</f>
        <v>34004180</v>
      </c>
      <c r="E39" s="67">
        <f>'Revenue detail'!F80</f>
        <v>36997294</v>
      </c>
      <c r="F39" s="24">
        <f>'Revenue detail'!G80</f>
        <v>32864041</v>
      </c>
      <c r="G39" s="24">
        <f>'Revenue detail'!H80</f>
        <v>33762433</v>
      </c>
      <c r="H39" s="24">
        <f>'Revenue detail'!I80</f>
        <v>43466544</v>
      </c>
      <c r="I39" s="24">
        <f>'Revenue detail'!J80</f>
        <v>51846293</v>
      </c>
      <c r="J39" s="24">
        <f>'Revenue detail'!K80</f>
        <v>33488039</v>
      </c>
      <c r="K39" s="24">
        <f>'Revenue detail'!L80</f>
        <v>29340250</v>
      </c>
      <c r="L39" s="24">
        <f>'Revenue detail'!M80</f>
        <v>28600533</v>
      </c>
      <c r="M39" s="24">
        <f>'Revenue detail'!N80</f>
        <v>27976789</v>
      </c>
      <c r="N39" s="24">
        <f>'Revenue detail'!O80</f>
        <v>29972983</v>
      </c>
      <c r="O39" s="24">
        <f>'Revenue detail'!P80</f>
        <v>24699663</v>
      </c>
      <c r="P39" s="24">
        <f>'Revenue detail'!Q80</f>
        <v>20660700</v>
      </c>
      <c r="Q39" s="24">
        <f>'Revenue detail'!R80</f>
        <v>17579300</v>
      </c>
      <c r="R39" s="24">
        <f>'Revenue detail'!S80</f>
        <v>15645500</v>
      </c>
      <c r="S39" s="24">
        <f>'Revenue detail'!T80</f>
        <v>14209433</v>
      </c>
    </row>
    <row r="40" spans="1:19">
      <c r="A40" s="68" t="s">
        <v>221</v>
      </c>
      <c r="B40" s="67">
        <f>'Revenue detail'!C83</f>
        <v>518200</v>
      </c>
      <c r="C40" s="67">
        <f>'Revenue detail'!D83</f>
        <v>518200</v>
      </c>
      <c r="D40" s="67">
        <f>'Revenue detail'!E83</f>
        <v>556057</v>
      </c>
      <c r="E40" s="67">
        <f>'Revenue detail'!F83</f>
        <v>565577</v>
      </c>
      <c r="F40" s="24">
        <f>'Revenue detail'!G83</f>
        <v>565546</v>
      </c>
      <c r="G40" s="24">
        <f>'Revenue detail'!H83</f>
        <v>534042</v>
      </c>
      <c r="H40" s="24">
        <f>'Revenue detail'!I83</f>
        <v>478315</v>
      </c>
      <c r="I40" s="24">
        <f>'Revenue detail'!J83</f>
        <v>475075</v>
      </c>
      <c r="J40" s="24">
        <f>'Revenue detail'!K83</f>
        <v>451971</v>
      </c>
      <c r="K40" s="24">
        <f>'Revenue detail'!L83</f>
        <v>427197</v>
      </c>
      <c r="L40" s="24">
        <f>'Revenue detail'!M83</f>
        <v>412845</v>
      </c>
      <c r="M40" s="24">
        <f>'Revenue detail'!N83</f>
        <v>397929</v>
      </c>
      <c r="N40" s="24">
        <f>'Revenue detail'!O83</f>
        <v>417142</v>
      </c>
      <c r="O40" s="24">
        <f>'Revenue detail'!P83</f>
        <v>405383</v>
      </c>
      <c r="P40" s="24">
        <f>'Revenue detail'!Q83</f>
        <v>370500</v>
      </c>
      <c r="Q40" s="24">
        <f>'Revenue detail'!R83</f>
        <v>336700</v>
      </c>
      <c r="R40" s="24">
        <f>'Revenue detail'!S83</f>
        <v>302300</v>
      </c>
      <c r="S40" s="24">
        <f>'Revenue detail'!T83</f>
        <v>324631</v>
      </c>
    </row>
    <row r="41" spans="1:19">
      <c r="A41" s="68" t="s">
        <v>223</v>
      </c>
      <c r="B41" s="67">
        <f>'Revenue detail'!C86</f>
        <v>43755699</v>
      </c>
      <c r="C41" s="67">
        <f>'Revenue detail'!D86</f>
        <v>42881222</v>
      </c>
      <c r="D41" s="67">
        <f>'Revenue detail'!E86</f>
        <v>42426048</v>
      </c>
      <c r="E41" s="67">
        <f>'Revenue detail'!F86</f>
        <v>41985113</v>
      </c>
      <c r="F41" s="24">
        <f>'Revenue detail'!G86</f>
        <v>43522681</v>
      </c>
      <c r="G41" s="24">
        <f>'Revenue detail'!H86</f>
        <v>37951980</v>
      </c>
      <c r="H41" s="24">
        <f>'Revenue detail'!I86</f>
        <v>35256195</v>
      </c>
      <c r="I41" s="24">
        <f>'Revenue detail'!J86</f>
        <v>34755136</v>
      </c>
      <c r="J41" s="24">
        <f>'Revenue detail'!K86</f>
        <v>36499779</v>
      </c>
      <c r="K41" s="24">
        <f>'Revenue detail'!L86</f>
        <v>36129470</v>
      </c>
      <c r="L41" s="24">
        <f>'Revenue detail'!M86</f>
        <v>33387897</v>
      </c>
      <c r="M41" s="24">
        <f>'Revenue detail'!N86</f>
        <v>31376707</v>
      </c>
      <c r="N41" s="24">
        <f>'Revenue detail'!O86</f>
        <v>28544499</v>
      </c>
      <c r="O41" s="24">
        <f>'Revenue detail'!P86</f>
        <v>27069379</v>
      </c>
      <c r="P41" s="24">
        <f>'Revenue detail'!Q86</f>
        <v>0</v>
      </c>
      <c r="Q41" s="24">
        <f>'Revenue detail'!R86</f>
        <v>0</v>
      </c>
      <c r="R41" s="24">
        <f>'Revenue detail'!S86</f>
        <v>0</v>
      </c>
      <c r="S41" s="24">
        <f>'Revenue detail'!T86</f>
        <v>22396803</v>
      </c>
    </row>
    <row r="42" spans="1:19">
      <c r="A42" s="68" t="s">
        <v>662</v>
      </c>
      <c r="B42" s="67">
        <f>SUM(B43:B48)</f>
        <v>8802695</v>
      </c>
      <c r="C42" s="67">
        <f>SUM(C43:C48)</f>
        <v>8594827</v>
      </c>
      <c r="D42" s="67">
        <f>SUM(D43:D48)</f>
        <v>8815275</v>
      </c>
      <c r="E42" s="67"/>
      <c r="F42" s="24"/>
      <c r="G42" s="24"/>
      <c r="H42" s="24"/>
      <c r="I42" s="24"/>
      <c r="J42" s="24"/>
      <c r="K42" s="24"/>
      <c r="L42" s="24"/>
      <c r="M42" s="24"/>
      <c r="N42" s="24"/>
      <c r="O42" s="24"/>
      <c r="P42" s="24"/>
      <c r="Q42" s="24"/>
      <c r="R42" s="24"/>
      <c r="S42" s="24"/>
    </row>
    <row r="43" spans="1:19">
      <c r="A43" s="68" t="s">
        <v>225</v>
      </c>
      <c r="B43" s="67">
        <f>'Revenue detail'!C89</f>
        <v>5914865</v>
      </c>
      <c r="C43" s="67">
        <f>'Revenue detail'!D89</f>
        <v>5706997</v>
      </c>
      <c r="D43" s="67">
        <f>'Revenue detail'!E89</f>
        <v>5235453</v>
      </c>
      <c r="E43" s="67">
        <f>'Revenue detail'!F89</f>
        <v>4892597</v>
      </c>
      <c r="F43" s="24">
        <f>'Revenue detail'!G89</f>
        <v>5021538</v>
      </c>
      <c r="G43" s="24">
        <f>'Revenue detail'!H89</f>
        <v>4922369</v>
      </c>
      <c r="H43" s="24">
        <f>'Revenue detail'!I89</f>
        <v>4764359</v>
      </c>
      <c r="I43" s="24">
        <f>'Revenue detail'!J89</f>
        <v>4942532</v>
      </c>
      <c r="J43" s="24">
        <f>'Revenue detail'!K89</f>
        <v>5376799</v>
      </c>
      <c r="K43" s="24">
        <f>'Revenue detail'!L89</f>
        <v>5530778</v>
      </c>
      <c r="L43" s="24">
        <f>'Revenue detail'!M89</f>
        <v>5595779</v>
      </c>
      <c r="M43" s="24">
        <f>'Revenue detail'!N89</f>
        <v>4861374</v>
      </c>
      <c r="N43" s="24">
        <f>'Revenue detail'!O89</f>
        <v>3935022</v>
      </c>
      <c r="O43" s="24">
        <f>'Revenue detail'!P89</f>
        <v>3425898</v>
      </c>
      <c r="P43" s="24">
        <f>'Revenue detail'!Q89</f>
        <v>0</v>
      </c>
      <c r="Q43" s="24">
        <f>'Revenue detail'!R89</f>
        <v>0</v>
      </c>
      <c r="R43" s="24">
        <f>'Revenue detail'!S89</f>
        <v>0</v>
      </c>
      <c r="S43" s="24">
        <f>'Revenue detail'!T89</f>
        <v>0</v>
      </c>
    </row>
    <row r="44" spans="1:19">
      <c r="A44" s="68" t="s">
        <v>228</v>
      </c>
      <c r="B44" s="67">
        <f>'Revenue detail'!C93</f>
        <v>227640</v>
      </c>
      <c r="C44" s="67">
        <f>'Revenue detail'!D93</f>
        <v>227640</v>
      </c>
      <c r="D44" s="67">
        <f>'Revenue detail'!E93</f>
        <v>141301</v>
      </c>
      <c r="E44" s="67">
        <f>'Revenue detail'!F93</f>
        <v>167340</v>
      </c>
      <c r="F44" s="24">
        <f>'Revenue detail'!G93</f>
        <v>184849</v>
      </c>
      <c r="G44" s="24">
        <f>'Revenue detail'!H93</f>
        <v>210661</v>
      </c>
      <c r="H44" s="24">
        <f>'Revenue detail'!I93</f>
        <v>209470</v>
      </c>
      <c r="I44" s="24">
        <f>'Revenue detail'!J93</f>
        <v>250100</v>
      </c>
      <c r="J44" s="24">
        <f>'Revenue detail'!K93</f>
        <v>246231</v>
      </c>
      <c r="K44" s="24">
        <f>'Revenue detail'!L93</f>
        <v>259970</v>
      </c>
      <c r="L44" s="24">
        <f>'Revenue detail'!M93</f>
        <v>253356</v>
      </c>
      <c r="M44" s="24">
        <f>'Revenue detail'!N93</f>
        <v>285740</v>
      </c>
      <c r="N44" s="24">
        <f>'Revenue detail'!O93</f>
        <v>234707</v>
      </c>
      <c r="O44" s="24">
        <f>'Revenue detail'!P93</f>
        <v>205765</v>
      </c>
      <c r="P44" s="24">
        <f>'Revenue detail'!Q93</f>
        <v>0</v>
      </c>
      <c r="Q44" s="24">
        <f>'Revenue detail'!R93</f>
        <v>0</v>
      </c>
      <c r="R44" s="24">
        <f>'Revenue detail'!S93</f>
        <v>0</v>
      </c>
      <c r="S44" s="24">
        <f>'Revenue detail'!T93</f>
        <v>0</v>
      </c>
    </row>
    <row r="45" spans="1:19">
      <c r="A45" s="68" t="s">
        <v>232</v>
      </c>
      <c r="B45" s="67">
        <f>'Revenue detail'!C97</f>
        <v>0</v>
      </c>
      <c r="C45" s="67">
        <f>'Revenue detail'!D97</f>
        <v>0</v>
      </c>
      <c r="D45" s="67">
        <f>'Revenue detail'!E97</f>
        <v>0</v>
      </c>
      <c r="E45" s="67">
        <f>'Revenue detail'!F97</f>
        <v>0</v>
      </c>
      <c r="F45" s="24">
        <f>'Revenue detail'!G97</f>
        <v>0</v>
      </c>
      <c r="G45" s="24">
        <f>'Revenue detail'!H97</f>
        <v>0</v>
      </c>
      <c r="H45" s="24">
        <f>'Revenue detail'!I97</f>
        <v>459</v>
      </c>
      <c r="I45" s="24">
        <f>'Revenue detail'!J97</f>
        <v>38338</v>
      </c>
      <c r="J45" s="24">
        <f>'Revenue detail'!K97</f>
        <v>97725</v>
      </c>
      <c r="K45" s="24">
        <f>'Revenue detail'!L97</f>
        <v>135830</v>
      </c>
      <c r="L45" s="24">
        <f>'Revenue detail'!M97</f>
        <v>134689</v>
      </c>
      <c r="M45" s="24">
        <f>'Revenue detail'!N97</f>
        <v>132579</v>
      </c>
      <c r="N45" s="24">
        <f>'Revenue detail'!O97</f>
        <v>130988</v>
      </c>
      <c r="O45" s="24">
        <f>'Revenue detail'!P97</f>
        <v>127253</v>
      </c>
      <c r="P45" s="24">
        <f>'Revenue detail'!Q97</f>
        <v>0</v>
      </c>
      <c r="Q45" s="24">
        <f>'Revenue detail'!R97</f>
        <v>0</v>
      </c>
      <c r="R45" s="24">
        <f>'Revenue detail'!S97</f>
        <v>0</v>
      </c>
      <c r="S45" s="24">
        <f>'Revenue detail'!T97</f>
        <v>0</v>
      </c>
    </row>
    <row r="46" spans="1:19">
      <c r="A46" s="68" t="s">
        <v>235</v>
      </c>
      <c r="B46" s="67">
        <f>'Revenue detail'!C100</f>
        <v>1139679</v>
      </c>
      <c r="C46" s="67">
        <f>'Revenue detail'!D100</f>
        <v>1139679</v>
      </c>
      <c r="D46" s="67">
        <f>'Revenue detail'!E100</f>
        <v>1652276</v>
      </c>
      <c r="E46" s="67">
        <f>'Revenue detail'!F100</f>
        <v>1646302</v>
      </c>
      <c r="F46" s="24">
        <f>'Revenue detail'!G100</f>
        <v>1480204</v>
      </c>
      <c r="G46" s="24">
        <f>'Revenue detail'!H100</f>
        <v>1448556</v>
      </c>
      <c r="H46" s="24">
        <f>'Revenue detail'!I100</f>
        <v>1341390</v>
      </c>
      <c r="I46" s="24">
        <f>'Revenue detail'!J100</f>
        <v>1120304</v>
      </c>
      <c r="J46" s="24">
        <f>'Revenue detail'!K100</f>
        <v>142857</v>
      </c>
      <c r="K46" s="24">
        <f>'Revenue detail'!L100</f>
        <v>56375</v>
      </c>
      <c r="L46" s="24">
        <f>'Revenue detail'!M100</f>
        <v>52328</v>
      </c>
      <c r="M46" s="24">
        <f>'Revenue detail'!N100</f>
        <v>49509</v>
      </c>
      <c r="N46" s="24">
        <f>'Revenue detail'!O100</f>
        <v>70377</v>
      </c>
      <c r="O46" s="24">
        <f>'Revenue detail'!P100</f>
        <v>166607</v>
      </c>
      <c r="P46" s="24">
        <f>'Revenue detail'!Q100</f>
        <v>0</v>
      </c>
      <c r="Q46" s="24">
        <f>'Revenue detail'!R100</f>
        <v>0</v>
      </c>
      <c r="R46" s="24">
        <f>'Revenue detail'!S100</f>
        <v>0</v>
      </c>
      <c r="S46" s="24">
        <f>'Revenue detail'!T100</f>
        <v>0</v>
      </c>
    </row>
    <row r="47" spans="1:19">
      <c r="A47" s="68" t="s">
        <v>239</v>
      </c>
      <c r="B47" s="67">
        <f>'Revenue detail'!C104</f>
        <v>1520511</v>
      </c>
      <c r="C47" s="67">
        <f>'Revenue detail'!D104</f>
        <v>1520511</v>
      </c>
      <c r="D47" s="67">
        <f>'Revenue detail'!E104</f>
        <v>1786245</v>
      </c>
      <c r="E47" s="67">
        <f>'Revenue detail'!F104</f>
        <v>1656345</v>
      </c>
      <c r="F47" s="24">
        <f>'Revenue detail'!G104</f>
        <v>1731777</v>
      </c>
      <c r="G47" s="24">
        <f>'Revenue detail'!H104</f>
        <v>3314932</v>
      </c>
      <c r="H47" s="24">
        <f>'Revenue detail'!I104</f>
        <v>3371497</v>
      </c>
      <c r="I47" s="24">
        <f>'Revenue detail'!J104</f>
        <v>1552557</v>
      </c>
      <c r="J47" s="24">
        <f>'Revenue detail'!K104</f>
        <v>1256785</v>
      </c>
      <c r="K47" s="24">
        <f>'Revenue detail'!L104</f>
        <v>1304001</v>
      </c>
      <c r="L47" s="24">
        <f>'Revenue detail'!M104</f>
        <v>1289996</v>
      </c>
      <c r="M47" s="24">
        <f>'Revenue detail'!N104</f>
        <v>1296069</v>
      </c>
      <c r="N47" s="24">
        <f>'Revenue detail'!O104</f>
        <v>1142445</v>
      </c>
      <c r="O47" s="24">
        <f>'Revenue detail'!P104</f>
        <v>1705396</v>
      </c>
      <c r="P47" s="24">
        <f>'Revenue detail'!Q104</f>
        <v>0</v>
      </c>
      <c r="Q47" s="24">
        <f>'Revenue detail'!R104</f>
        <v>0</v>
      </c>
      <c r="R47" s="24">
        <f>'Revenue detail'!S104</f>
        <v>0</v>
      </c>
      <c r="S47" s="24">
        <f>'Revenue detail'!T104</f>
        <v>0</v>
      </c>
    </row>
    <row r="48" spans="1:19">
      <c r="A48" s="68" t="s">
        <v>663</v>
      </c>
      <c r="B48" s="67"/>
      <c r="C48" s="67"/>
      <c r="D48" s="67"/>
      <c r="E48" s="67"/>
      <c r="F48" s="24"/>
      <c r="G48" s="24"/>
      <c r="H48" s="24"/>
      <c r="I48" s="24"/>
      <c r="J48" s="24"/>
      <c r="K48" s="24"/>
      <c r="L48" s="24"/>
      <c r="M48" s="24"/>
      <c r="N48" s="24"/>
      <c r="O48" s="24"/>
      <c r="P48" s="24"/>
      <c r="Q48" s="24"/>
      <c r="R48" s="24"/>
      <c r="S48" s="24"/>
    </row>
    <row r="49" spans="1:19">
      <c r="A49" s="68" t="s">
        <v>246</v>
      </c>
      <c r="B49" s="67">
        <f>'Revenue detail'!C112</f>
        <v>1377335</v>
      </c>
      <c r="C49" s="67">
        <f>'Revenue detail'!D112</f>
        <v>1377335</v>
      </c>
      <c r="D49" s="67">
        <f>'Revenue detail'!E112</f>
        <v>1418292</v>
      </c>
      <c r="E49" s="67">
        <f>'Revenue detail'!F112</f>
        <v>1416464</v>
      </c>
      <c r="F49" s="24">
        <f>'Revenue detail'!G112</f>
        <v>1412436</v>
      </c>
      <c r="G49" s="24">
        <f>'Revenue detail'!H112</f>
        <v>1227942</v>
      </c>
      <c r="H49" s="24">
        <f>'Revenue detail'!I112</f>
        <v>1103176</v>
      </c>
      <c r="I49" s="24">
        <f>'Revenue detail'!J112</f>
        <v>1013991</v>
      </c>
      <c r="J49" s="24">
        <f>'Revenue detail'!K112</f>
        <v>1049538</v>
      </c>
      <c r="K49" s="24">
        <f>'Revenue detail'!L112</f>
        <v>1478264</v>
      </c>
      <c r="L49" s="24">
        <f>'Revenue detail'!M112</f>
        <v>530733</v>
      </c>
      <c r="M49" s="24">
        <f>'Revenue detail'!N112</f>
        <v>898489</v>
      </c>
      <c r="N49" s="24">
        <f>'Revenue detail'!O112</f>
        <v>601304</v>
      </c>
      <c r="O49" s="24">
        <f>'Revenue detail'!P112</f>
        <v>544493</v>
      </c>
      <c r="P49" s="24">
        <f>'Revenue detail'!Q112</f>
        <v>0</v>
      </c>
      <c r="Q49" s="24">
        <f>'Revenue detail'!R112</f>
        <v>0</v>
      </c>
      <c r="R49" s="24">
        <f>'Revenue detail'!S112</f>
        <v>0</v>
      </c>
      <c r="S49" s="24">
        <f>'Revenue detail'!T112</f>
        <v>0</v>
      </c>
    </row>
    <row r="50" spans="1:19">
      <c r="A50" s="68" t="s">
        <v>252</v>
      </c>
      <c r="B50" s="67">
        <f>'Revenue detail'!C118</f>
        <v>0</v>
      </c>
      <c r="C50" s="67">
        <f>'Revenue detail'!D118</f>
        <v>0</v>
      </c>
      <c r="D50" s="67">
        <f>'Revenue detail'!E118</f>
        <v>0</v>
      </c>
      <c r="E50" s="67">
        <f>'Revenue detail'!F118</f>
        <v>50500</v>
      </c>
      <c r="F50" s="24">
        <f>'Revenue detail'!G118</f>
        <v>17234</v>
      </c>
      <c r="G50" s="24">
        <f>'Revenue detail'!H118</f>
        <v>-115151</v>
      </c>
      <c r="H50" s="24">
        <f>'Revenue detail'!I118</f>
        <v>2500</v>
      </c>
      <c r="I50" s="24">
        <f>'Revenue detail'!J118</f>
        <v>2500</v>
      </c>
      <c r="J50" s="24">
        <f>'Revenue detail'!K118</f>
        <v>23850</v>
      </c>
      <c r="K50" s="24">
        <f>'Revenue detail'!L118</f>
        <v>45000</v>
      </c>
      <c r="L50" s="24">
        <f>'Revenue detail'!M118</f>
        <v>20000</v>
      </c>
      <c r="M50" s="24">
        <f>'Revenue detail'!N118</f>
        <v>20000</v>
      </c>
      <c r="N50" s="24">
        <f>'Revenue detail'!O118</f>
        <v>20000</v>
      </c>
      <c r="O50" s="24">
        <f>'Revenue detail'!P118</f>
        <v>45300</v>
      </c>
      <c r="P50" s="24">
        <f>'Revenue detail'!Q118</f>
        <v>0</v>
      </c>
      <c r="Q50" s="24">
        <f>'Revenue detail'!R118</f>
        <v>0</v>
      </c>
      <c r="R50" s="24">
        <f>'Revenue detail'!S118</f>
        <v>0</v>
      </c>
      <c r="S50" s="24">
        <f>'Revenue detail'!T118</f>
        <v>0</v>
      </c>
    </row>
    <row r="51" spans="1:19">
      <c r="A51" s="68" t="s">
        <v>255</v>
      </c>
      <c r="B51" s="67">
        <f>'Revenue detail'!C121</f>
        <v>6640225</v>
      </c>
      <c r="C51" s="67">
        <f>'Revenue detail'!D121</f>
        <v>6440225</v>
      </c>
      <c r="D51" s="67">
        <f>'Revenue detail'!E121</f>
        <v>7926494</v>
      </c>
      <c r="E51" s="67">
        <f>'Revenue detail'!F121</f>
        <v>7310266</v>
      </c>
      <c r="F51" s="24">
        <f>'Revenue detail'!G121</f>
        <v>7297630</v>
      </c>
      <c r="G51" s="24">
        <f>'Revenue detail'!H121</f>
        <v>6503752</v>
      </c>
      <c r="H51" s="24">
        <f>'Revenue detail'!I121</f>
        <v>6063782</v>
      </c>
      <c r="I51" s="24">
        <f>'Revenue detail'!J121</f>
        <v>6937932</v>
      </c>
      <c r="J51" s="24">
        <f>'Revenue detail'!K121</f>
        <v>6599678</v>
      </c>
      <c r="K51" s="24">
        <f>'Revenue detail'!L121</f>
        <v>6425784</v>
      </c>
      <c r="L51" s="24">
        <f>'Revenue detail'!M121</f>
        <v>5645190</v>
      </c>
      <c r="M51" s="24">
        <f>'Revenue detail'!N121</f>
        <v>5383077</v>
      </c>
      <c r="N51" s="24">
        <f>'Revenue detail'!O121</f>
        <v>3872068</v>
      </c>
      <c r="O51" s="24">
        <f>'Revenue detail'!P121</f>
        <v>4101380</v>
      </c>
      <c r="P51" s="24">
        <f>'Revenue detail'!Q121</f>
        <v>0</v>
      </c>
      <c r="Q51" s="24">
        <f>'Revenue detail'!R121</f>
        <v>0</v>
      </c>
      <c r="R51" s="24">
        <f>'Revenue detail'!S121</f>
        <v>0</v>
      </c>
      <c r="S51" s="24">
        <f>'Revenue detail'!T121</f>
        <v>0</v>
      </c>
    </row>
    <row r="52" spans="1:19">
      <c r="A52" s="68" t="s">
        <v>260</v>
      </c>
      <c r="B52" s="67">
        <f>'Revenue detail'!C127</f>
        <v>0</v>
      </c>
      <c r="C52" s="67">
        <f>'Revenue detail'!D127</f>
        <v>0</v>
      </c>
      <c r="D52" s="67">
        <f>'Revenue detail'!E127</f>
        <v>124078</v>
      </c>
      <c r="E52" s="67">
        <f>'Revenue detail'!F127</f>
        <v>72533</v>
      </c>
      <c r="F52" s="24">
        <f>'Revenue detail'!G127</f>
        <v>15000</v>
      </c>
      <c r="G52" s="24">
        <f>'Revenue detail'!H127</f>
        <v>0</v>
      </c>
      <c r="H52" s="24">
        <f>'Revenue detail'!I127</f>
        <v>15000</v>
      </c>
      <c r="I52" s="24">
        <f>'Revenue detail'!J127</f>
        <v>150</v>
      </c>
      <c r="J52" s="24">
        <f>'Revenue detail'!K127</f>
        <v>4167</v>
      </c>
      <c r="K52" s="24">
        <f>'Revenue detail'!L127</f>
        <v>0</v>
      </c>
      <c r="L52" s="24">
        <f>'Revenue detail'!M127</f>
        <v>0</v>
      </c>
      <c r="M52" s="24">
        <f>'Revenue detail'!N127</f>
        <v>65000</v>
      </c>
      <c r="N52" s="24">
        <f>'Revenue detail'!O127</f>
        <v>10000</v>
      </c>
      <c r="O52" s="24">
        <f>'Revenue detail'!P127</f>
        <v>0</v>
      </c>
      <c r="P52" s="24">
        <f>'Revenue detail'!Q127</f>
        <v>0</v>
      </c>
      <c r="Q52" s="24">
        <f>'Revenue detail'!R127</f>
        <v>0</v>
      </c>
      <c r="R52" s="24">
        <f>'Revenue detail'!S127</f>
        <v>0</v>
      </c>
      <c r="S52" s="24">
        <f>'Revenue detail'!T127</f>
        <v>0</v>
      </c>
    </row>
    <row r="53" spans="1:19">
      <c r="A53" s="68" t="s">
        <v>664</v>
      </c>
      <c r="B53" s="67"/>
      <c r="C53" s="67"/>
      <c r="D53" s="67"/>
      <c r="E53" s="67"/>
      <c r="F53" s="24"/>
      <c r="G53" s="24"/>
      <c r="H53" s="24"/>
      <c r="I53" s="24"/>
      <c r="J53" s="24"/>
      <c r="K53" s="24"/>
      <c r="L53" s="24"/>
      <c r="M53" s="24"/>
      <c r="N53" s="24"/>
      <c r="O53" s="24"/>
      <c r="P53" s="24"/>
      <c r="Q53" s="24"/>
      <c r="R53" s="24"/>
      <c r="S53" s="24"/>
    </row>
    <row r="54" spans="1:19">
      <c r="A54" s="68" t="s">
        <v>262</v>
      </c>
      <c r="B54" s="67">
        <f>'Revenue detail'!C131</f>
        <v>3006344</v>
      </c>
      <c r="C54" s="67">
        <f>'Revenue detail'!D131</f>
        <v>2806344</v>
      </c>
      <c r="D54" s="67">
        <f>'Revenue detail'!E131</f>
        <v>3335946</v>
      </c>
      <c r="E54" s="67">
        <f>'Revenue detail'!F131</f>
        <v>2873245</v>
      </c>
      <c r="F54" s="24">
        <f>'Revenue detail'!G131</f>
        <v>2834801</v>
      </c>
      <c r="G54" s="24">
        <f>'Revenue detail'!H131</f>
        <v>2846761</v>
      </c>
      <c r="H54" s="24">
        <f>'Revenue detail'!I131</f>
        <v>2976333</v>
      </c>
      <c r="I54" s="24">
        <f>'Revenue detail'!J131</f>
        <v>2925056</v>
      </c>
      <c r="J54" s="24">
        <f>'Revenue detail'!K131</f>
        <v>3004267</v>
      </c>
      <c r="K54" s="24">
        <f>'Revenue detail'!L131</f>
        <v>2793458</v>
      </c>
      <c r="L54" s="24">
        <f>'Revenue detail'!M131</f>
        <v>2547068</v>
      </c>
      <c r="M54" s="24">
        <f>'Revenue detail'!N131</f>
        <v>2644551</v>
      </c>
      <c r="N54" s="24">
        <f>'Revenue detail'!O131</f>
        <v>2316566</v>
      </c>
      <c r="O54" s="24">
        <f>'Revenue detail'!P131</f>
        <v>2378499</v>
      </c>
      <c r="P54" s="24">
        <f>'Revenue detail'!Q131</f>
        <v>0</v>
      </c>
      <c r="Q54" s="24">
        <f>'Revenue detail'!R131</f>
        <v>0</v>
      </c>
      <c r="R54" s="24">
        <f>'Revenue detail'!S131</f>
        <v>0</v>
      </c>
      <c r="S54" s="24">
        <f>'Revenue detail'!T131</f>
        <v>0</v>
      </c>
    </row>
    <row r="55" spans="1:19">
      <c r="A55" s="68" t="s">
        <v>265</v>
      </c>
      <c r="B55" s="67">
        <f>'Revenue detail'!C136</f>
        <v>174800</v>
      </c>
      <c r="C55" s="67">
        <f>'Revenue detail'!D136</f>
        <v>174800</v>
      </c>
      <c r="D55" s="67">
        <f>'Revenue detail'!E136</f>
        <v>263019</v>
      </c>
      <c r="E55" s="67">
        <f>'Revenue detail'!F136</f>
        <v>280541</v>
      </c>
      <c r="F55" s="24">
        <f>'Revenue detail'!G136</f>
        <v>243060</v>
      </c>
      <c r="G55" s="24">
        <f>'Revenue detail'!H136</f>
        <v>312287</v>
      </c>
      <c r="H55" s="24">
        <f>'Revenue detail'!I136</f>
        <v>204593</v>
      </c>
      <c r="I55" s="24">
        <f>'Revenue detail'!J136</f>
        <v>176435</v>
      </c>
      <c r="J55" s="24">
        <f>'Revenue detail'!K136</f>
        <v>192796</v>
      </c>
      <c r="K55" s="24">
        <f>'Revenue detail'!L136</f>
        <v>185691</v>
      </c>
      <c r="L55" s="24">
        <f>'Revenue detail'!M136</f>
        <v>265698</v>
      </c>
      <c r="M55" s="24">
        <f>'Revenue detail'!N136</f>
        <v>257285</v>
      </c>
      <c r="N55" s="24">
        <f>'Revenue detail'!O136</f>
        <v>353021</v>
      </c>
      <c r="O55" s="24">
        <f>'Revenue detail'!P136</f>
        <v>148854</v>
      </c>
      <c r="P55" s="24">
        <f>'Revenue detail'!Q136</f>
        <v>0</v>
      </c>
      <c r="Q55" s="24">
        <f>'Revenue detail'!R136</f>
        <v>0</v>
      </c>
      <c r="R55" s="24">
        <f>'Revenue detail'!S136</f>
        <v>0</v>
      </c>
      <c r="S55" s="24">
        <f>'Revenue detail'!T136</f>
        <v>0</v>
      </c>
    </row>
    <row r="56" spans="1:19">
      <c r="A56" s="68" t="s">
        <v>676</v>
      </c>
      <c r="B56" s="67">
        <f>'Revenue detail'!C140</f>
        <v>0</v>
      </c>
      <c r="C56" s="67">
        <f>'Revenue detail'!D140</f>
        <v>0</v>
      </c>
      <c r="D56" s="67">
        <f>'Revenue detail'!E140</f>
        <v>57</v>
      </c>
      <c r="E56" s="67">
        <f>'Revenue detail'!F140</f>
        <v>363</v>
      </c>
      <c r="F56" s="24">
        <f>'Revenue detail'!G140</f>
        <v>438</v>
      </c>
      <c r="G56" s="24">
        <f>'Revenue detail'!H140</f>
        <v>0</v>
      </c>
      <c r="H56" s="24">
        <f>'Revenue detail'!I140</f>
        <v>0</v>
      </c>
      <c r="I56" s="24">
        <f>'Revenue detail'!J140</f>
        <v>0</v>
      </c>
      <c r="J56" s="24">
        <f>'Revenue detail'!K140</f>
        <v>0</v>
      </c>
      <c r="K56" s="24">
        <f>'Revenue detail'!L140</f>
        <v>423</v>
      </c>
      <c r="L56" s="24">
        <f>'Revenue detail'!M140</f>
        <v>23161</v>
      </c>
      <c r="M56" s="24">
        <f>'Revenue detail'!N140</f>
        <v>55166</v>
      </c>
      <c r="N56" s="24">
        <f>'Revenue detail'!O140</f>
        <v>168</v>
      </c>
      <c r="O56" s="24">
        <f>'Revenue detail'!P140</f>
        <v>76</v>
      </c>
      <c r="P56" s="24">
        <f>'Revenue detail'!Q140</f>
        <v>0</v>
      </c>
      <c r="Q56" s="24">
        <f>'Revenue detail'!R140</f>
        <v>0</v>
      </c>
      <c r="R56" s="24">
        <f>'Revenue detail'!S140</f>
        <v>0</v>
      </c>
      <c r="S56" s="24">
        <f>'Revenue detail'!T140</f>
        <v>0</v>
      </c>
    </row>
    <row r="57" spans="1:19">
      <c r="A57" s="70" t="s">
        <v>1</v>
      </c>
      <c r="B57" s="42">
        <f t="shared" ref="B57" si="7">SUBTOTAL(9,B26:B56)</f>
        <v>2656829438</v>
      </c>
      <c r="C57" s="42">
        <f t="shared" ref="C57" si="8">SUBTOTAL(9,C26:C56)</f>
        <v>2526968762</v>
      </c>
      <c r="D57" s="42">
        <f t="shared" ref="D57:S57" si="9">SUBTOTAL(9,D26:D56)</f>
        <v>2464526225</v>
      </c>
      <c r="E57" s="42">
        <f t="shared" si="9"/>
        <v>2383505557</v>
      </c>
      <c r="F57" s="42">
        <f t="shared" si="9"/>
        <v>2340525582</v>
      </c>
      <c r="G57" s="42">
        <f t="shared" si="9"/>
        <v>2212837308</v>
      </c>
      <c r="H57" s="42">
        <f t="shared" si="9"/>
        <v>2193749550</v>
      </c>
      <c r="I57" s="42">
        <f t="shared" si="9"/>
        <v>2168574547</v>
      </c>
      <c r="J57" s="42">
        <f t="shared" si="9"/>
        <v>2175291611</v>
      </c>
      <c r="K57" s="42">
        <f t="shared" si="9"/>
        <v>2124051492</v>
      </c>
      <c r="L57" s="42">
        <f t="shared" si="9"/>
        <v>2065510420</v>
      </c>
      <c r="M57" s="42">
        <f t="shared" si="9"/>
        <v>1895888258</v>
      </c>
      <c r="N57" s="42">
        <f t="shared" si="9"/>
        <v>1770677030</v>
      </c>
      <c r="O57" s="42">
        <f t="shared" si="9"/>
        <v>1632720020</v>
      </c>
      <c r="P57" s="42">
        <f t="shared" si="9"/>
        <v>1501944100</v>
      </c>
      <c r="Q57" s="42">
        <f t="shared" si="9"/>
        <v>1432436800</v>
      </c>
      <c r="R57" s="42">
        <f t="shared" si="9"/>
        <v>1333156600</v>
      </c>
      <c r="S57" s="42">
        <f t="shared" si="9"/>
        <v>1233036391</v>
      </c>
    </row>
    <row r="58" spans="1:19">
      <c r="A58" s="68" t="s">
        <v>1081</v>
      </c>
      <c r="B58" s="41">
        <f>B57-B21</f>
        <v>-16229704</v>
      </c>
      <c r="C58" s="41">
        <f>C57-C21</f>
        <v>-24647299</v>
      </c>
      <c r="D58" s="41">
        <f>D57-D21</f>
        <v>-1756947</v>
      </c>
      <c r="E58" s="41">
        <f>E57-E21</f>
        <v>-56720404</v>
      </c>
      <c r="F58" s="41">
        <f t="shared" ref="F58:S58" si="10">F57-F21</f>
        <v>-45099044</v>
      </c>
      <c r="G58" s="41">
        <f t="shared" si="10"/>
        <v>-1525401</v>
      </c>
      <c r="H58" s="41">
        <f t="shared" si="10"/>
        <v>70978367</v>
      </c>
      <c r="I58" s="41">
        <f t="shared" si="10"/>
        <v>71612246</v>
      </c>
      <c r="J58" s="41">
        <f t="shared" si="10"/>
        <v>-1366746</v>
      </c>
      <c r="K58" s="41">
        <f t="shared" si="10"/>
        <v>-20090833</v>
      </c>
      <c r="L58" s="41">
        <f t="shared" si="10"/>
        <v>26701619</v>
      </c>
      <c r="M58" s="41">
        <f t="shared" si="10"/>
        <v>-14545560</v>
      </c>
      <c r="N58" s="41">
        <f t="shared" si="10"/>
        <v>3236582</v>
      </c>
      <c r="O58" s="41">
        <f t="shared" si="10"/>
        <v>2018621</v>
      </c>
      <c r="P58" s="41">
        <f t="shared" si="10"/>
        <v>-74019200</v>
      </c>
      <c r="Q58" s="41">
        <f t="shared" si="10"/>
        <v>-12049100</v>
      </c>
      <c r="R58" s="41">
        <f t="shared" si="10"/>
        <v>-43152300</v>
      </c>
      <c r="S58" s="41">
        <f t="shared" si="10"/>
        <v>-38643709</v>
      </c>
    </row>
    <row r="59" spans="1:19">
      <c r="A59" s="68"/>
      <c r="B59" s="68"/>
      <c r="C59" s="68"/>
      <c r="D59" s="40"/>
    </row>
    <row r="61" spans="1:19">
      <c r="A61" s="68" t="s">
        <v>934</v>
      </c>
      <c r="B61">
        <f t="shared" ref="B61:S61" si="11">B11/B7</f>
        <v>0.47748306069190172</v>
      </c>
      <c r="C61">
        <f t="shared" si="11"/>
        <v>0.46624673788605048</v>
      </c>
      <c r="D61">
        <f t="shared" si="11"/>
        <v>0.46657958227826851</v>
      </c>
      <c r="E61">
        <f t="shared" si="11"/>
        <v>0.43772715240822152</v>
      </c>
      <c r="F61">
        <f t="shared" si="11"/>
        <v>0.45637977079450809</v>
      </c>
      <c r="G61">
        <f t="shared" si="11"/>
        <v>0.40612678460337803</v>
      </c>
      <c r="H61">
        <f t="shared" si="11"/>
        <v>0.38182301325304857</v>
      </c>
      <c r="I61">
        <f t="shared" si="11"/>
        <v>0.36380178648038047</v>
      </c>
      <c r="J61">
        <f t="shared" si="11"/>
        <v>0.39173384385295479</v>
      </c>
      <c r="K61">
        <f t="shared" si="11"/>
        <v>0.39942443135199013</v>
      </c>
      <c r="L61">
        <f t="shared" si="11"/>
        <v>0.37417249006798925</v>
      </c>
      <c r="M61">
        <f t="shared" si="11"/>
        <v>0.33267789796482999</v>
      </c>
      <c r="N61">
        <f t="shared" si="11"/>
        <v>0.31976396408026875</v>
      </c>
      <c r="O61">
        <f t="shared" si="11"/>
        <v>0.27350229367715001</v>
      </c>
      <c r="P61">
        <f t="shared" si="11"/>
        <v>0.25889563910573044</v>
      </c>
      <c r="Q61">
        <f t="shared" si="11"/>
        <v>0.24027697802585765</v>
      </c>
      <c r="R61">
        <f t="shared" si="11"/>
        <v>0.27127483322455442</v>
      </c>
      <c r="S61">
        <f t="shared" si="11"/>
        <v>0.2942871640851033</v>
      </c>
    </row>
    <row r="62" spans="1:19">
      <c r="D62" s="40"/>
    </row>
    <row r="65" spans="1:21" ht="15.75">
      <c r="A65" s="18" t="s">
        <v>1102</v>
      </c>
    </row>
    <row r="66" spans="1:21" ht="15.75">
      <c r="A66" s="18"/>
      <c r="B66" s="20" t="s">
        <v>980</v>
      </c>
      <c r="C66" s="20" t="s">
        <v>117</v>
      </c>
      <c r="D66" s="20" t="s">
        <v>115</v>
      </c>
      <c r="E66" s="20" t="s">
        <v>115</v>
      </c>
      <c r="F66" s="20" t="s">
        <v>115</v>
      </c>
      <c r="G66" s="30" t="s">
        <v>115</v>
      </c>
      <c r="H66" s="30" t="s">
        <v>115</v>
      </c>
      <c r="I66" s="30" t="s">
        <v>115</v>
      </c>
      <c r="J66" s="30" t="s">
        <v>115</v>
      </c>
      <c r="K66" s="30" t="s">
        <v>115</v>
      </c>
      <c r="L66" s="30" t="s">
        <v>115</v>
      </c>
      <c r="M66" s="30" t="s">
        <v>115</v>
      </c>
      <c r="N66" s="30" t="s">
        <v>115</v>
      </c>
      <c r="O66" s="30" t="s">
        <v>115</v>
      </c>
      <c r="P66" s="30" t="s">
        <v>115</v>
      </c>
      <c r="Q66" s="30" t="s">
        <v>115</v>
      </c>
      <c r="R66" s="30" t="s">
        <v>115</v>
      </c>
      <c r="S66" s="30" t="s">
        <v>115</v>
      </c>
      <c r="T66" s="30" t="s">
        <v>1115</v>
      </c>
    </row>
    <row r="67" spans="1:21">
      <c r="B67" s="2">
        <f>B6</f>
        <v>2017</v>
      </c>
      <c r="C67" s="2">
        <f t="shared" ref="C67:S67" si="12">C6</f>
        <v>2016</v>
      </c>
      <c r="D67" s="2">
        <f t="shared" si="12"/>
        <v>2015</v>
      </c>
      <c r="E67" s="2">
        <f t="shared" si="12"/>
        <v>2014</v>
      </c>
      <c r="F67" s="2">
        <f t="shared" si="12"/>
        <v>2013</v>
      </c>
      <c r="G67" s="2">
        <f t="shared" si="12"/>
        <v>2012</v>
      </c>
      <c r="H67" s="2">
        <f t="shared" si="12"/>
        <v>2011</v>
      </c>
      <c r="I67" s="2">
        <f t="shared" si="12"/>
        <v>2010</v>
      </c>
      <c r="J67" s="2">
        <f t="shared" si="12"/>
        <v>2009</v>
      </c>
      <c r="K67" s="2">
        <f t="shared" si="12"/>
        <v>2008</v>
      </c>
      <c r="L67" s="2">
        <f t="shared" si="12"/>
        <v>2007</v>
      </c>
      <c r="M67" s="2">
        <f t="shared" si="12"/>
        <v>2006</v>
      </c>
      <c r="N67" s="2">
        <f t="shared" si="12"/>
        <v>2005</v>
      </c>
      <c r="O67" s="2">
        <f t="shared" si="12"/>
        <v>2004</v>
      </c>
      <c r="P67" s="2">
        <f t="shared" si="12"/>
        <v>2003</v>
      </c>
      <c r="Q67" s="2">
        <f t="shared" si="12"/>
        <v>2002</v>
      </c>
      <c r="R67" s="2">
        <f t="shared" si="12"/>
        <v>2001</v>
      </c>
      <c r="S67" s="2">
        <f t="shared" si="12"/>
        <v>2000</v>
      </c>
    </row>
    <row r="68" spans="1:21">
      <c r="A68" s="5" t="s">
        <v>99</v>
      </c>
      <c r="B68" s="40">
        <f>B7/B$4*$D$4/1000000</f>
        <v>1476.0363950546434</v>
      </c>
      <c r="C68" s="40">
        <f t="shared" ref="C68:S68" si="13">C7/C$4*$D$4/1000000</f>
        <v>1433.3648007870142</v>
      </c>
      <c r="D68" s="40">
        <f t="shared" si="13"/>
        <v>1407.9553820000001</v>
      </c>
      <c r="E68" s="40">
        <f t="shared" si="13"/>
        <v>1428.7309251294998</v>
      </c>
      <c r="F68" s="40">
        <f t="shared" si="13"/>
        <v>1405.9178572606984</v>
      </c>
      <c r="G68" s="40">
        <f t="shared" si="13"/>
        <v>1392.4641077311576</v>
      </c>
      <c r="H68" s="40">
        <f t="shared" si="13"/>
        <v>1362.8941056891488</v>
      </c>
      <c r="I68" s="40">
        <f t="shared" si="13"/>
        <v>1429.1466018016013</v>
      </c>
      <c r="J68" s="40">
        <f t="shared" si="13"/>
        <v>1474.4672461318619</v>
      </c>
      <c r="K68" s="40">
        <f t="shared" si="13"/>
        <v>1418.8817204058078</v>
      </c>
      <c r="L68" s="40">
        <f t="shared" si="13"/>
        <v>1414.6576274377703</v>
      </c>
      <c r="M68" s="40">
        <f t="shared" si="13"/>
        <v>1389.2234671580311</v>
      </c>
      <c r="N68" s="40">
        <f t="shared" si="13"/>
        <v>1347.5162077952036</v>
      </c>
      <c r="O68" s="40">
        <f t="shared" si="13"/>
        <v>1327.8151540619617</v>
      </c>
      <c r="P68" s="40">
        <f t="shared" si="13"/>
        <v>1306.1518787184773</v>
      </c>
      <c r="Q68" s="40">
        <f t="shared" si="13"/>
        <v>1271.4403421214727</v>
      </c>
      <c r="R68" s="40">
        <f t="shared" si="13"/>
        <v>1201.6815705532747</v>
      </c>
      <c r="S68" s="40">
        <f t="shared" si="13"/>
        <v>1121.6425509630433</v>
      </c>
      <c r="T68" s="45">
        <f>RANK(B68,$B$68:$B$81)</f>
        <v>1</v>
      </c>
      <c r="U68" s="40" t="str">
        <f>A68</f>
        <v>Regular salaries</v>
      </c>
    </row>
    <row r="69" spans="1:21">
      <c r="A69" s="5" t="s">
        <v>112</v>
      </c>
      <c r="B69" s="40">
        <f t="shared" ref="B69:S69" si="14">B8/B$4*$D$4/1000000</f>
        <v>69.839099037064045</v>
      </c>
      <c r="C69" s="40">
        <f t="shared" si="14"/>
        <v>68.493592720118045</v>
      </c>
      <c r="D69" s="40">
        <f t="shared" si="14"/>
        <v>66.958011999999997</v>
      </c>
      <c r="E69" s="40">
        <f t="shared" si="14"/>
        <v>67.599312478499996</v>
      </c>
      <c r="F69" s="40">
        <f t="shared" si="14"/>
        <v>64.660901710714484</v>
      </c>
      <c r="G69" s="40">
        <f t="shared" si="14"/>
        <v>62.597043303283513</v>
      </c>
      <c r="H69" s="40">
        <f t="shared" si="14"/>
        <v>63.001591945706899</v>
      </c>
      <c r="I69" s="40">
        <f t="shared" si="14"/>
        <v>64.700507813745674</v>
      </c>
      <c r="J69" s="40">
        <f t="shared" si="14"/>
        <v>66.816702090332186</v>
      </c>
      <c r="K69" s="40">
        <f t="shared" si="14"/>
        <v>65.815477152208629</v>
      </c>
      <c r="L69" s="40">
        <f t="shared" si="14"/>
        <v>66.072359321031357</v>
      </c>
      <c r="M69" s="40">
        <f t="shared" si="14"/>
        <v>62.026085177701148</v>
      </c>
      <c r="N69" s="40">
        <f t="shared" si="14"/>
        <v>58.497846165187042</v>
      </c>
      <c r="O69" s="40">
        <f t="shared" si="14"/>
        <v>58.901336560140578</v>
      </c>
      <c r="P69" s="40">
        <f t="shared" si="14"/>
        <v>58.086707886920912</v>
      </c>
      <c r="Q69" s="40">
        <f t="shared" si="14"/>
        <v>52.20118269552222</v>
      </c>
      <c r="R69" s="40">
        <f t="shared" si="14"/>
        <v>48.944753915604025</v>
      </c>
      <c r="S69" s="40">
        <f t="shared" si="14"/>
        <v>44.193241247895614</v>
      </c>
      <c r="T69" s="45">
        <f t="shared" ref="T69:T81" si="15">RANK(B69,$B$68:$B$81)</f>
        <v>4</v>
      </c>
      <c r="U69" s="40" t="str">
        <f t="shared" ref="U69:U81" si="16">A69</f>
        <v>Hourly salaries contracted</v>
      </c>
    </row>
    <row r="70" spans="1:21">
      <c r="A70" s="5" t="s">
        <v>113</v>
      </c>
      <c r="B70" s="40">
        <f t="shared" ref="B70:S70" si="17">B9/B$4*$D$4/1000000</f>
        <v>43.160193259811244</v>
      </c>
      <c r="C70" s="40">
        <f t="shared" si="17"/>
        <v>41.635262174126908</v>
      </c>
      <c r="D70" s="40">
        <f t="shared" si="17"/>
        <v>50.619954999999997</v>
      </c>
      <c r="E70" s="40">
        <f t="shared" si="17"/>
        <v>51.678400541999999</v>
      </c>
      <c r="F70" s="40">
        <f t="shared" si="17"/>
        <v>52.107688527214989</v>
      </c>
      <c r="G70" s="40">
        <f t="shared" si="17"/>
        <v>54.002309189678925</v>
      </c>
      <c r="H70" s="40">
        <f t="shared" si="17"/>
        <v>50.788754316149884</v>
      </c>
      <c r="I70" s="40">
        <f t="shared" si="17"/>
        <v>48.84256061305031</v>
      </c>
      <c r="J70" s="40">
        <f t="shared" si="17"/>
        <v>50.967410462936506</v>
      </c>
      <c r="K70" s="40">
        <f t="shared" si="17"/>
        <v>52.160856497162229</v>
      </c>
      <c r="L70" s="40">
        <f t="shared" si="17"/>
        <v>51.913109005127204</v>
      </c>
      <c r="M70" s="40">
        <f t="shared" si="17"/>
        <v>52.614145482691555</v>
      </c>
      <c r="N70" s="40">
        <f t="shared" si="17"/>
        <v>52.118103707429889</v>
      </c>
      <c r="O70" s="40">
        <f t="shared" si="17"/>
        <v>50.146553273869195</v>
      </c>
      <c r="P70" s="40">
        <f t="shared" si="17"/>
        <v>56.178995701392516</v>
      </c>
      <c r="Q70" s="40">
        <f t="shared" si="17"/>
        <v>53.717683251349769</v>
      </c>
      <c r="R70" s="40">
        <f t="shared" si="17"/>
        <v>50.704348524461174</v>
      </c>
      <c r="S70" s="40">
        <f t="shared" si="17"/>
        <v>46.299099901305311</v>
      </c>
      <c r="T70" s="45">
        <f t="shared" si="15"/>
        <v>7</v>
      </c>
      <c r="U70" s="40" t="str">
        <f t="shared" si="16"/>
        <v>Hourly salaries non contracted</v>
      </c>
    </row>
    <row r="71" spans="1:21">
      <c r="A71" s="5" t="s">
        <v>100</v>
      </c>
      <c r="B71" s="40">
        <f t="shared" ref="B71:S71" si="18">B10/B$4*$D$4/1000000</f>
        <v>15.553125519435948</v>
      </c>
      <c r="C71" s="40">
        <f t="shared" si="18"/>
        <v>16.006319724545008</v>
      </c>
      <c r="D71" s="40">
        <f t="shared" si="18"/>
        <v>7.9960000000000004</v>
      </c>
      <c r="E71" s="40">
        <f t="shared" si="18"/>
        <v>8.0569385904999997</v>
      </c>
      <c r="F71" s="40">
        <f t="shared" si="18"/>
        <v>7.0937347955179986</v>
      </c>
      <c r="G71" s="40">
        <f t="shared" si="18"/>
        <v>8.2182302762157509</v>
      </c>
      <c r="H71" s="40">
        <f t="shared" si="18"/>
        <v>10.048913069217546</v>
      </c>
      <c r="I71" s="40">
        <f t="shared" si="18"/>
        <v>12.856363148211951</v>
      </c>
      <c r="J71" s="40">
        <f t="shared" si="18"/>
        <v>9.6746617969601001</v>
      </c>
      <c r="K71" s="40">
        <f t="shared" si="18"/>
        <v>10.61348195595731</v>
      </c>
      <c r="L71" s="40">
        <f t="shared" si="18"/>
        <v>9.8674685041551893</v>
      </c>
      <c r="M71" s="40">
        <f t="shared" si="18"/>
        <v>10.694218698433263</v>
      </c>
      <c r="N71" s="40">
        <f t="shared" si="18"/>
        <v>13.368283079126593</v>
      </c>
      <c r="O71" s="40">
        <f t="shared" si="18"/>
        <v>10.409159966789412</v>
      </c>
      <c r="P71" s="40">
        <f t="shared" si="18"/>
        <v>12.390057723520243</v>
      </c>
      <c r="Q71" s="40">
        <f t="shared" si="18"/>
        <v>13.101664316189963</v>
      </c>
      <c r="R71" s="40">
        <f t="shared" si="18"/>
        <v>11.283663758672361</v>
      </c>
      <c r="S71" s="40">
        <f t="shared" si="18"/>
        <v>11.670026095208623</v>
      </c>
      <c r="T71" s="45">
        <f t="shared" si="15"/>
        <v>11</v>
      </c>
      <c r="U71" s="40" t="str">
        <f t="shared" si="16"/>
        <v>Salary supplements</v>
      </c>
    </row>
    <row r="72" spans="1:21">
      <c r="A72" s="5" t="s">
        <v>101</v>
      </c>
      <c r="B72" s="40">
        <f t="shared" ref="B72:S72" si="19">B11/B$4*$D$4/1000000</f>
        <v>704.78237560333207</v>
      </c>
      <c r="C72" s="40">
        <f t="shared" si="19"/>
        <v>668.30166256763414</v>
      </c>
      <c r="D72" s="40">
        <f t="shared" si="19"/>
        <v>656.92323399999998</v>
      </c>
      <c r="E72" s="40">
        <f t="shared" si="19"/>
        <v>625.39431941450005</v>
      </c>
      <c r="F72" s="40">
        <f t="shared" si="19"/>
        <v>641.63246945254343</v>
      </c>
      <c r="G72" s="40">
        <f t="shared" si="19"/>
        <v>565.51697074846686</v>
      </c>
      <c r="H72" s="40">
        <f t="shared" si="19"/>
        <v>520.38433417904969</v>
      </c>
      <c r="I72" s="40">
        <f t="shared" si="19"/>
        <v>519.9260868777875</v>
      </c>
      <c r="J72" s="40">
        <f t="shared" si="19"/>
        <v>577.59872196251513</v>
      </c>
      <c r="K72" s="40">
        <f t="shared" si="19"/>
        <v>566.73602432882319</v>
      </c>
      <c r="L72" s="40">
        <f t="shared" si="19"/>
        <v>529.32596705206447</v>
      </c>
      <c r="M72" s="40">
        <f t="shared" si="19"/>
        <v>462.16394285754683</v>
      </c>
      <c r="N72" s="40">
        <f t="shared" si="19"/>
        <v>430.88712426700545</v>
      </c>
      <c r="O72" s="40">
        <f t="shared" si="19"/>
        <v>363.16049021522485</v>
      </c>
      <c r="P72" s="40">
        <f t="shared" si="19"/>
        <v>338.15702540997069</v>
      </c>
      <c r="Q72" s="40">
        <f t="shared" si="19"/>
        <v>305.49784314511004</v>
      </c>
      <c r="R72" s="40">
        <f t="shared" si="19"/>
        <v>325.98596764086022</v>
      </c>
      <c r="S72" s="40">
        <f t="shared" si="19"/>
        <v>330.0850054400949</v>
      </c>
      <c r="T72" s="45">
        <f t="shared" si="15"/>
        <v>2</v>
      </c>
      <c r="U72" s="40" t="str">
        <f t="shared" si="16"/>
        <v>Employee benefits</v>
      </c>
    </row>
    <row r="73" spans="1:21">
      <c r="A73" s="5" t="s">
        <v>102</v>
      </c>
      <c r="B73" s="40">
        <f t="shared" ref="B73:S73" si="20">B12/B$4*$D$4/1000000</f>
        <v>84.633766173435902</v>
      </c>
      <c r="C73" s="40">
        <f t="shared" si="20"/>
        <v>93.73609542547959</v>
      </c>
      <c r="D73" s="40">
        <f t="shared" si="20"/>
        <v>86.219729000000001</v>
      </c>
      <c r="E73" s="40">
        <f t="shared" si="20"/>
        <v>84.955986955500009</v>
      </c>
      <c r="F73" s="40">
        <f t="shared" si="20"/>
        <v>103.50737270198098</v>
      </c>
      <c r="G73" s="40">
        <f t="shared" si="20"/>
        <v>92.315750833665831</v>
      </c>
      <c r="H73" s="40">
        <f t="shared" si="20"/>
        <v>94.114408290529042</v>
      </c>
      <c r="I73" s="40">
        <f t="shared" si="20"/>
        <v>79.690142505649547</v>
      </c>
      <c r="J73" s="40">
        <f t="shared" si="20"/>
        <v>80.244708983424871</v>
      </c>
      <c r="K73" s="40">
        <f t="shared" si="20"/>
        <v>84.795638051363042</v>
      </c>
      <c r="L73" s="40">
        <f t="shared" si="20"/>
        <v>92.751090634363393</v>
      </c>
      <c r="M73" s="40">
        <f t="shared" si="20"/>
        <v>97.219224974008597</v>
      </c>
      <c r="N73" s="40">
        <f t="shared" si="20"/>
        <v>88.84994256793685</v>
      </c>
      <c r="O73" s="40">
        <f t="shared" si="20"/>
        <v>86.21020582417583</v>
      </c>
      <c r="P73" s="40">
        <f t="shared" si="20"/>
        <v>95.074393799960987</v>
      </c>
      <c r="Q73" s="40">
        <f t="shared" si="20"/>
        <v>85.636643128419536</v>
      </c>
      <c r="R73" s="40">
        <f t="shared" si="20"/>
        <v>91.492960101010866</v>
      </c>
      <c r="S73" s="40">
        <f t="shared" si="20"/>
        <v>93.310462946721088</v>
      </c>
      <c r="T73" s="45">
        <f t="shared" si="15"/>
        <v>3</v>
      </c>
      <c r="U73" s="40" t="str">
        <f t="shared" si="16"/>
        <v>Mat'l and supplies</v>
      </c>
    </row>
    <row r="74" spans="1:21">
      <c r="A74" s="5" t="s">
        <v>2</v>
      </c>
      <c r="B74" s="40">
        <f t="shared" ref="B74:S74" si="21">B13/B$4*$D$4/1000000</f>
        <v>46.381298830003416</v>
      </c>
      <c r="C74" s="40">
        <f t="shared" si="21"/>
        <v>46.102886374815547</v>
      </c>
      <c r="D74" s="40">
        <f t="shared" si="21"/>
        <v>44.072871999999997</v>
      </c>
      <c r="E74" s="40">
        <f t="shared" si="21"/>
        <v>47.882534400499992</v>
      </c>
      <c r="F74" s="40">
        <f t="shared" si="21"/>
        <v>49.307225802404993</v>
      </c>
      <c r="G74" s="40">
        <f t="shared" si="21"/>
        <v>49.084679882444</v>
      </c>
      <c r="H74" s="40">
        <f t="shared" si="21"/>
        <v>51.408561527476422</v>
      </c>
      <c r="I74" s="40">
        <f t="shared" si="21"/>
        <v>49.295073338435714</v>
      </c>
      <c r="J74" s="40">
        <f t="shared" si="21"/>
        <v>63.549979879809065</v>
      </c>
      <c r="K74" s="40">
        <f t="shared" si="21"/>
        <v>57.884194456753463</v>
      </c>
      <c r="L74" s="40">
        <f t="shared" si="21"/>
        <v>56.814651681918583</v>
      </c>
      <c r="M74" s="40">
        <f t="shared" si="21"/>
        <v>57.79854269136959</v>
      </c>
      <c r="N74" s="40">
        <f t="shared" si="21"/>
        <v>60.515791486131214</v>
      </c>
      <c r="O74" s="40">
        <f t="shared" si="21"/>
        <v>60.698417678330273</v>
      </c>
      <c r="P74" s="40">
        <f t="shared" si="21"/>
        <v>53.426346170004607</v>
      </c>
      <c r="Q74" s="40">
        <f t="shared" si="21"/>
        <v>48.962024828144656</v>
      </c>
      <c r="R74" s="40">
        <f t="shared" si="21"/>
        <v>47.821446235642853</v>
      </c>
      <c r="S74" s="40">
        <f t="shared" si="21"/>
        <v>38.216759084716024</v>
      </c>
      <c r="T74" s="45">
        <f t="shared" si="15"/>
        <v>6</v>
      </c>
      <c r="U74" s="40" t="str">
        <f t="shared" si="16"/>
        <v>Utilities</v>
      </c>
    </row>
    <row r="75" spans="1:21">
      <c r="A75" s="5" t="s">
        <v>103</v>
      </c>
      <c r="B75" s="40">
        <f t="shared" ref="B75:S75" si="22">B14/B$4*$D$4/1000000</f>
        <v>2.08053105074679</v>
      </c>
      <c r="C75" s="40">
        <f t="shared" si="22"/>
        <v>2.1158435809149045</v>
      </c>
      <c r="D75" s="40">
        <f t="shared" si="22"/>
        <v>1.788063</v>
      </c>
      <c r="E75" s="40">
        <f t="shared" si="22"/>
        <v>1.871716011</v>
      </c>
      <c r="F75" s="40">
        <f t="shared" si="22"/>
        <v>1.9027327672354997</v>
      </c>
      <c r="G75" s="40">
        <f t="shared" si="22"/>
        <v>2.2940564076064662</v>
      </c>
      <c r="H75" s="40">
        <f t="shared" si="22"/>
        <v>2.0618491567685657</v>
      </c>
      <c r="I75" s="40">
        <f t="shared" si="22"/>
        <v>2.2201201257986689</v>
      </c>
      <c r="J75" s="40">
        <f t="shared" si="22"/>
        <v>2.5374441337400127</v>
      </c>
      <c r="K75" s="40">
        <f t="shared" si="22"/>
        <v>2.771350419466148</v>
      </c>
      <c r="L75" s="40">
        <f t="shared" si="22"/>
        <v>2.6637557639689153</v>
      </c>
      <c r="M75" s="40">
        <f t="shared" si="22"/>
        <v>2.1874393252020146</v>
      </c>
      <c r="N75" s="40">
        <f t="shared" si="22"/>
        <v>1.9975954095777069</v>
      </c>
      <c r="O75" s="40">
        <f t="shared" si="22"/>
        <v>1.830798429692825</v>
      </c>
      <c r="P75" s="40">
        <f t="shared" si="22"/>
        <v>2.0297705485630431</v>
      </c>
      <c r="Q75" s="40">
        <f t="shared" si="22"/>
        <v>1.7953783908353247</v>
      </c>
      <c r="R75" s="40">
        <f t="shared" si="22"/>
        <v>1.4957108552919252</v>
      </c>
      <c r="S75" s="40">
        <f t="shared" si="22"/>
        <v>1.347983300751016</v>
      </c>
      <c r="T75" s="45">
        <f t="shared" si="15"/>
        <v>13</v>
      </c>
      <c r="U75" s="40" t="str">
        <f t="shared" si="16"/>
        <v>Travel expenses</v>
      </c>
    </row>
    <row r="76" spans="1:21">
      <c r="A76" s="5" t="s">
        <v>104</v>
      </c>
      <c r="B76" s="40">
        <f t="shared" ref="B76:S76" si="23">B15/B$4*$D$4/1000000</f>
        <v>-0.37014252536057174</v>
      </c>
      <c r="C76" s="40">
        <f t="shared" si="23"/>
        <v>-0.3886876537137236</v>
      </c>
      <c r="D76" s="40">
        <f t="shared" si="23"/>
        <v>-1.794719</v>
      </c>
      <c r="E76" s="40">
        <f t="shared" si="23"/>
        <v>3.7710045845</v>
      </c>
      <c r="F76" s="40">
        <f t="shared" si="23"/>
        <v>1.4367220453449998</v>
      </c>
      <c r="G76" s="40">
        <f t="shared" si="23"/>
        <v>1.3513995839022004</v>
      </c>
      <c r="H76" s="40">
        <f t="shared" si="23"/>
        <v>1.4376524269700832</v>
      </c>
      <c r="I76" s="40">
        <f t="shared" si="23"/>
        <v>2.5876580673850822</v>
      </c>
      <c r="J76" s="40">
        <f t="shared" si="23"/>
        <v>4.0596561233776409</v>
      </c>
      <c r="K76" s="40">
        <f t="shared" si="23"/>
        <v>5.3269105726639641</v>
      </c>
      <c r="L76" s="40">
        <f t="shared" si="23"/>
        <v>4.2275087765399872</v>
      </c>
      <c r="M76" s="40">
        <f t="shared" si="23"/>
        <v>7.393819955455176</v>
      </c>
      <c r="N76" s="40">
        <f t="shared" si="23"/>
        <v>7.8461312815352864</v>
      </c>
      <c r="O76" s="40">
        <f t="shared" si="23"/>
        <v>7.6423030138281192</v>
      </c>
      <c r="P76" s="40">
        <f t="shared" si="23"/>
        <v>22.927096079921057</v>
      </c>
      <c r="Q76" s="40">
        <f t="shared" si="23"/>
        <v>6.58419107720428</v>
      </c>
      <c r="R76" s="40">
        <f t="shared" si="23"/>
        <v>6.7448354784689437</v>
      </c>
      <c r="S76" s="40">
        <f t="shared" si="23"/>
        <v>5.6358159805852202</v>
      </c>
      <c r="T76" s="45">
        <f t="shared" si="15"/>
        <v>14</v>
      </c>
      <c r="U76" s="40" t="str">
        <f t="shared" si="16"/>
        <v>Other operating expenses</v>
      </c>
    </row>
    <row r="77" spans="1:21">
      <c r="A77" s="5" t="s">
        <v>105</v>
      </c>
      <c r="B77" s="40">
        <f t="shared" ref="B77:S77" si="24">B16/B$4*$D$4/1000000</f>
        <v>61.084554433741935</v>
      </c>
      <c r="C77" s="40">
        <f t="shared" si="24"/>
        <v>59.090326610919824</v>
      </c>
      <c r="D77" s="40">
        <f t="shared" si="24"/>
        <v>60.93094</v>
      </c>
      <c r="E77" s="40">
        <f t="shared" si="24"/>
        <v>64.080743471000005</v>
      </c>
      <c r="F77" s="40">
        <f t="shared" si="24"/>
        <v>62.814242752027489</v>
      </c>
      <c r="G77" s="40">
        <f t="shared" si="24"/>
        <v>56.748346593114739</v>
      </c>
      <c r="H77" s="40">
        <f t="shared" si="24"/>
        <v>65.14486219548408</v>
      </c>
      <c r="I77" s="40">
        <f t="shared" si="24"/>
        <v>52.592816559130554</v>
      </c>
      <c r="J77" s="40">
        <f t="shared" si="24"/>
        <v>52.171321530663413</v>
      </c>
      <c r="K77" s="40">
        <f t="shared" si="24"/>
        <v>54.742024237734078</v>
      </c>
      <c r="L77" s="40">
        <f t="shared" si="24"/>
        <v>51.64326716285381</v>
      </c>
      <c r="M77" s="40">
        <f t="shared" si="24"/>
        <v>52.610958032664776</v>
      </c>
      <c r="N77" s="40">
        <f t="shared" si="24"/>
        <v>39.04916993590794</v>
      </c>
      <c r="O77" s="40">
        <f t="shared" si="24"/>
        <v>34.827894697653761</v>
      </c>
      <c r="P77" s="40">
        <f t="shared" si="24"/>
        <v>45.066882368989127</v>
      </c>
      <c r="Q77" s="40">
        <f t="shared" si="24"/>
        <v>34.012453761785707</v>
      </c>
      <c r="R77" s="40">
        <f t="shared" si="24"/>
        <v>28.853969881692542</v>
      </c>
      <c r="S77" s="40">
        <f t="shared" si="24"/>
        <v>33.133135903867448</v>
      </c>
      <c r="T77" s="45">
        <f t="shared" si="15"/>
        <v>5</v>
      </c>
      <c r="U77" s="40" t="str">
        <f t="shared" si="16"/>
        <v>Maintenance by contractors</v>
      </c>
    </row>
    <row r="78" spans="1:21">
      <c r="A78" s="5" t="s">
        <v>106</v>
      </c>
      <c r="B78" s="40">
        <f t="shared" ref="B78:S78" si="25">B17/B$4*$D$4/1000000</f>
        <v>32.506403805966919</v>
      </c>
      <c r="C78" s="40">
        <f t="shared" si="25"/>
        <v>31.939815051647816</v>
      </c>
      <c r="D78" s="40">
        <f t="shared" si="25"/>
        <v>30.073425</v>
      </c>
      <c r="E78" s="40">
        <f t="shared" si="25"/>
        <v>31.478750402999996</v>
      </c>
      <c r="F78" s="40">
        <f t="shared" si="25"/>
        <v>30.796352343226495</v>
      </c>
      <c r="G78" s="40">
        <f t="shared" si="25"/>
        <v>33.035804796006275</v>
      </c>
      <c r="H78" s="40">
        <f t="shared" si="25"/>
        <v>33.964471058213604</v>
      </c>
      <c r="I78" s="40">
        <f t="shared" si="25"/>
        <v>29.598618230280234</v>
      </c>
      <c r="J78" s="40">
        <f t="shared" si="25"/>
        <v>31.315633251097264</v>
      </c>
      <c r="K78" s="40">
        <f t="shared" si="25"/>
        <v>34.759935416469794</v>
      </c>
      <c r="L78" s="40">
        <f t="shared" si="25"/>
        <v>30.719078309047116</v>
      </c>
      <c r="M78" s="40">
        <f t="shared" si="25"/>
        <v>29.346186416820473</v>
      </c>
      <c r="N78" s="40">
        <f t="shared" si="25"/>
        <v>26.074615916360841</v>
      </c>
      <c r="O78" s="40">
        <f t="shared" si="25"/>
        <v>24.94066764231366</v>
      </c>
      <c r="P78" s="40">
        <f t="shared" si="25"/>
        <v>25.405614533673774</v>
      </c>
      <c r="Q78" s="40">
        <f t="shared" si="25"/>
        <v>21.924654999383822</v>
      </c>
      <c r="R78" s="40">
        <f t="shared" si="25"/>
        <v>23.283860608695651</v>
      </c>
      <c r="S78" s="40">
        <f t="shared" si="25"/>
        <v>21.923365500540502</v>
      </c>
      <c r="T78" s="45">
        <f t="shared" si="15"/>
        <v>8</v>
      </c>
      <c r="U78" s="40" t="str">
        <f t="shared" si="16"/>
        <v>County services</v>
      </c>
    </row>
    <row r="79" spans="1:21">
      <c r="A79" s="5" t="s">
        <v>107</v>
      </c>
      <c r="B79" s="40">
        <f t="shared" ref="B79:S79" si="26">B18/B$4*$D$4/1000000</f>
        <v>18.816120340016877</v>
      </c>
      <c r="C79" s="40">
        <f t="shared" si="26"/>
        <v>16.937644859813084</v>
      </c>
      <c r="D79" s="40">
        <f t="shared" si="26"/>
        <v>13.613054</v>
      </c>
      <c r="E79" s="40">
        <f t="shared" si="26"/>
        <v>19.125850033999999</v>
      </c>
      <c r="F79" s="40">
        <f t="shared" si="26"/>
        <v>14.240743289727497</v>
      </c>
      <c r="G79" s="40">
        <f t="shared" si="26"/>
        <v>15.940506893144031</v>
      </c>
      <c r="H79" s="40">
        <f t="shared" si="26"/>
        <v>25.537390114575356</v>
      </c>
      <c r="I79" s="40">
        <f t="shared" si="26"/>
        <v>24.848581160085047</v>
      </c>
      <c r="J79" s="40">
        <f t="shared" si="26"/>
        <v>29.582702123943587</v>
      </c>
      <c r="K79" s="40">
        <f t="shared" si="26"/>
        <v>34.876181915524562</v>
      </c>
      <c r="L79" s="40">
        <f t="shared" si="26"/>
        <v>37.281845039646022</v>
      </c>
      <c r="M79" s="40">
        <f t="shared" si="26"/>
        <v>44.676161574935811</v>
      </c>
      <c r="N79" s="40">
        <f t="shared" si="26"/>
        <v>47.473108245656178</v>
      </c>
      <c r="O79" s="40">
        <f t="shared" si="26"/>
        <v>44.210474339826817</v>
      </c>
      <c r="P79" s="40">
        <f t="shared" si="26"/>
        <v>44.199534307293746</v>
      </c>
      <c r="Q79" s="40">
        <f t="shared" si="26"/>
        <v>38.941796864034316</v>
      </c>
      <c r="R79" s="40">
        <f t="shared" si="26"/>
        <v>34.780128189830741</v>
      </c>
      <c r="S79" s="40">
        <f t="shared" si="26"/>
        <v>30.681764770705136</v>
      </c>
      <c r="T79" s="45">
        <f t="shared" si="15"/>
        <v>10</v>
      </c>
      <c r="U79" s="40" t="str">
        <f t="shared" si="16"/>
        <v>Capital expenses</v>
      </c>
    </row>
    <row r="80" spans="1:21">
      <c r="A80" s="5" t="s">
        <v>109</v>
      </c>
      <c r="B80" s="40">
        <f t="shared" ref="B80:S80" si="27">B19/B$4*$D$4/1000000</f>
        <v>4.4258684001239752</v>
      </c>
      <c r="C80" s="40">
        <f t="shared" si="27"/>
        <v>4.3955996064928673</v>
      </c>
      <c r="D80" s="40">
        <f t="shared" si="27"/>
        <v>7.2925389999999997</v>
      </c>
      <c r="E80" s="40">
        <f t="shared" si="27"/>
        <v>4.5418510955000002</v>
      </c>
      <c r="F80" s="40">
        <f t="shared" si="27"/>
        <v>5.031496437543999</v>
      </c>
      <c r="G80" s="40">
        <f t="shared" si="27"/>
        <v>5.891109649901769</v>
      </c>
      <c r="H80" s="40">
        <f t="shared" si="27"/>
        <v>4.8988936056687438</v>
      </c>
      <c r="I80" s="40">
        <f t="shared" si="27"/>
        <v>5.113340115065637</v>
      </c>
      <c r="J80" s="40">
        <f t="shared" si="27"/>
        <v>3.9176723354299483</v>
      </c>
      <c r="K80" s="40">
        <f t="shared" si="27"/>
        <v>6.2814299149078696</v>
      </c>
      <c r="L80" s="40">
        <f t="shared" si="27"/>
        <v>9.7483876188497032</v>
      </c>
      <c r="M80" s="40">
        <f t="shared" si="27"/>
        <v>8.1664612509860941</v>
      </c>
      <c r="N80" s="40">
        <f t="shared" si="27"/>
        <v>8.4229303657687513</v>
      </c>
      <c r="O80" s="40">
        <f t="shared" si="27"/>
        <v>6.8150562019895577</v>
      </c>
      <c r="P80" s="40">
        <f t="shared" si="27"/>
        <v>4.3055253828483693</v>
      </c>
      <c r="Q80" s="40">
        <f t="shared" si="27"/>
        <v>1.3889316831600886</v>
      </c>
      <c r="R80" s="40">
        <f t="shared" si="27"/>
        <v>3.4178767051847823</v>
      </c>
      <c r="S80" s="40">
        <f t="shared" si="27"/>
        <v>3.9847965692921021</v>
      </c>
      <c r="T80" s="45">
        <f t="shared" si="15"/>
        <v>12</v>
      </c>
      <c r="U80" s="40" t="str">
        <f t="shared" si="16"/>
        <v>Construction &amp; insurance</v>
      </c>
    </row>
    <row r="81" spans="1:21">
      <c r="A81" s="5" t="s">
        <v>108</v>
      </c>
      <c r="B81" s="40">
        <f t="shared" ref="B81:S81" si="28">B20/B$4*$D$4/1000000</f>
        <v>28.054762914614226</v>
      </c>
      <c r="C81" s="40">
        <f t="shared" si="28"/>
        <v>28.466635514018691</v>
      </c>
      <c r="D81" s="40">
        <f t="shared" si="28"/>
        <v>33.634686000000002</v>
      </c>
      <c r="E81" s="40">
        <f t="shared" si="28"/>
        <v>41.321356246500002</v>
      </c>
      <c r="F81" s="40">
        <f t="shared" si="28"/>
        <v>35.462628521727495</v>
      </c>
      <c r="G81" s="40">
        <f t="shared" si="28"/>
        <v>27.773442336363239</v>
      </c>
      <c r="H81" s="40">
        <f t="shared" si="28"/>
        <v>31.057951729431075</v>
      </c>
      <c r="I81" s="40">
        <f t="shared" si="28"/>
        <v>38.512106844205505</v>
      </c>
      <c r="J81" s="40">
        <f t="shared" si="28"/>
        <v>43.82952567730851</v>
      </c>
      <c r="K81" s="40">
        <f t="shared" si="28"/>
        <v>48.763639860880062</v>
      </c>
      <c r="L81" s="40">
        <f t="shared" si="28"/>
        <v>56.337240011459919</v>
      </c>
      <c r="M81" s="40">
        <f t="shared" si="28"/>
        <v>49.858079926373755</v>
      </c>
      <c r="N81" s="40">
        <f t="shared" si="28"/>
        <v>38.681103230589322</v>
      </c>
      <c r="O81" s="40">
        <f t="shared" si="28"/>
        <v>41.273411816280685</v>
      </c>
      <c r="P81" s="40">
        <f t="shared" si="28"/>
        <v>38.889795419609513</v>
      </c>
      <c r="Q81" s="40">
        <f t="shared" si="28"/>
        <v>35.61272681795316</v>
      </c>
      <c r="R81" s="40">
        <f t="shared" si="28"/>
        <v>30.996085057692543</v>
      </c>
      <c r="S81" s="40">
        <f t="shared" si="28"/>
        <v>30.502451775850027</v>
      </c>
      <c r="T81" s="45">
        <f t="shared" si="15"/>
        <v>9</v>
      </c>
      <c r="U81" s="40" t="str">
        <f t="shared" si="16"/>
        <v>Transfer out</v>
      </c>
    </row>
    <row r="82" spans="1:21">
      <c r="A82" s="21" t="s">
        <v>1</v>
      </c>
      <c r="B82" s="40">
        <f t="shared" ref="B82:S82" si="29">B21/B$4*$D$4/1000000</f>
        <v>2586.9843518975763</v>
      </c>
      <c r="C82" s="40">
        <f t="shared" si="29"/>
        <v>2510.1977973438275</v>
      </c>
      <c r="D82" s="40">
        <f t="shared" si="29"/>
        <v>2466.2831719999999</v>
      </c>
      <c r="E82" s="40">
        <f t="shared" si="29"/>
        <v>2480.4896893565001</v>
      </c>
      <c r="F82" s="40">
        <f t="shared" si="29"/>
        <v>2475.9121684079087</v>
      </c>
      <c r="G82" s="40">
        <f t="shared" si="29"/>
        <v>2367.2337582249511</v>
      </c>
      <c r="H82" s="40">
        <f t="shared" si="29"/>
        <v>2316.7437393043901</v>
      </c>
      <c r="I82" s="40">
        <f t="shared" si="29"/>
        <v>2359.9305772004323</v>
      </c>
      <c r="J82" s="40">
        <f t="shared" si="29"/>
        <v>2490.7333864834004</v>
      </c>
      <c r="K82" s="40">
        <f t="shared" si="29"/>
        <v>2444.4088651857223</v>
      </c>
      <c r="L82" s="40">
        <f t="shared" si="29"/>
        <v>2414.0233563187962</v>
      </c>
      <c r="M82" s="40">
        <f t="shared" si="29"/>
        <v>2325.9787335222195</v>
      </c>
      <c r="N82" s="40">
        <f t="shared" si="29"/>
        <v>2221.297953453417</v>
      </c>
      <c r="O82" s="40">
        <f t="shared" si="29"/>
        <v>2118.8819237220773</v>
      </c>
      <c r="P82" s="40">
        <f t="shared" si="29"/>
        <v>2102.2896240511463</v>
      </c>
      <c r="Q82" s="40">
        <f t="shared" si="29"/>
        <v>1970.8175170805653</v>
      </c>
      <c r="R82" s="40">
        <f t="shared" si="29"/>
        <v>1907.4871775063834</v>
      </c>
      <c r="S82" s="40">
        <f t="shared" si="29"/>
        <v>1812.6293102436102</v>
      </c>
      <c r="T82" s="45"/>
    </row>
  </sheetData>
  <sortState ref="A26:D39">
    <sortCondition descending="1" ref="D26:D39"/>
  </sortState>
  <hyperlinks>
    <hyperlink ref="F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sheetPr codeName="Sheet31"/>
  <dimension ref="A1:S515"/>
  <sheetViews>
    <sheetView workbookViewId="0">
      <selection activeCell="A2" sqref="A2"/>
    </sheetView>
  </sheetViews>
  <sheetFormatPr defaultRowHeight="12.75"/>
  <cols>
    <col min="1" max="1" width="48" bestFit="1" customWidth="1"/>
    <col min="2" max="19" width="14" customWidth="1"/>
  </cols>
  <sheetData>
    <row r="1" spans="1:19">
      <c r="A1" t="s">
        <v>1114</v>
      </c>
    </row>
    <row r="2" spans="1:19" ht="18">
      <c r="A2" s="26" t="s">
        <v>657</v>
      </c>
      <c r="B2" s="43"/>
      <c r="C2" s="43"/>
      <c r="D2" s="45"/>
      <c r="E2" s="45"/>
      <c r="F2" s="45"/>
      <c r="G2" s="147"/>
    </row>
    <row r="3" spans="1:19">
      <c r="A3" s="82" t="s">
        <v>110</v>
      </c>
      <c r="B3" s="152"/>
      <c r="C3" s="152"/>
      <c r="D3" s="152"/>
      <c r="E3" s="152"/>
      <c r="F3" s="152"/>
      <c r="G3" s="21"/>
      <c r="H3" s="21"/>
      <c r="I3" s="21"/>
      <c r="J3" s="21"/>
      <c r="K3" s="21"/>
      <c r="L3" s="21"/>
      <c r="M3" s="21"/>
    </row>
    <row r="4" spans="1:19">
      <c r="A4" s="5"/>
      <c r="B4" s="20" t="s">
        <v>114</v>
      </c>
      <c r="C4" s="20" t="s">
        <v>114</v>
      </c>
      <c r="D4" s="20" t="s">
        <v>114</v>
      </c>
      <c r="E4" s="20" t="s">
        <v>114</v>
      </c>
      <c r="F4" s="20" t="s">
        <v>114</v>
      </c>
      <c r="G4" s="20" t="s">
        <v>114</v>
      </c>
      <c r="H4" s="20" t="s">
        <v>114</v>
      </c>
      <c r="I4" s="20" t="s">
        <v>114</v>
      </c>
      <c r="J4" s="20" t="s">
        <v>114</v>
      </c>
      <c r="K4" s="20" t="s">
        <v>114</v>
      </c>
      <c r="L4" s="20" t="s">
        <v>114</v>
      </c>
      <c r="M4" s="20" t="s">
        <v>114</v>
      </c>
      <c r="N4" s="20" t="s">
        <v>114</v>
      </c>
      <c r="O4" s="20" t="s">
        <v>114</v>
      </c>
      <c r="P4" s="20" t="s">
        <v>114</v>
      </c>
      <c r="Q4" s="20" t="s">
        <v>114</v>
      </c>
      <c r="R4" s="20" t="s">
        <v>114</v>
      </c>
      <c r="S4" s="20" t="s">
        <v>114</v>
      </c>
    </row>
    <row r="5" spans="1:19">
      <c r="A5" s="28"/>
      <c r="B5" s="2">
        <f t="shared" ref="B5:R5" si="0">C5+1</f>
        <v>2017</v>
      </c>
      <c r="C5" s="2">
        <f t="shared" si="0"/>
        <v>2016</v>
      </c>
      <c r="D5" s="2">
        <f t="shared" si="0"/>
        <v>2015</v>
      </c>
      <c r="E5" s="2">
        <f t="shared" si="0"/>
        <v>2014</v>
      </c>
      <c r="F5" s="2">
        <f t="shared" si="0"/>
        <v>2013</v>
      </c>
      <c r="G5" s="2">
        <f t="shared" si="0"/>
        <v>2012</v>
      </c>
      <c r="H5" s="2">
        <f t="shared" si="0"/>
        <v>2011</v>
      </c>
      <c r="I5" s="2">
        <f t="shared" si="0"/>
        <v>2010</v>
      </c>
      <c r="J5" s="2">
        <f t="shared" si="0"/>
        <v>2009</v>
      </c>
      <c r="K5" s="2">
        <f t="shared" si="0"/>
        <v>2008</v>
      </c>
      <c r="L5" s="2">
        <f t="shared" si="0"/>
        <v>2007</v>
      </c>
      <c r="M5" s="2">
        <f t="shared" si="0"/>
        <v>2006</v>
      </c>
      <c r="N5" s="2">
        <f t="shared" si="0"/>
        <v>2005</v>
      </c>
      <c r="O5" s="2">
        <f t="shared" si="0"/>
        <v>2004</v>
      </c>
      <c r="P5" s="2">
        <f t="shared" si="0"/>
        <v>2003</v>
      </c>
      <c r="Q5" s="2">
        <f t="shared" si="0"/>
        <v>2002</v>
      </c>
      <c r="R5" s="2">
        <f t="shared" si="0"/>
        <v>2001</v>
      </c>
      <c r="S5" s="2">
        <v>2000</v>
      </c>
    </row>
    <row r="6" spans="1:19">
      <c r="A6" s="28"/>
      <c r="B6" s="146" t="s">
        <v>980</v>
      </c>
      <c r="C6" s="2" t="s">
        <v>117</v>
      </c>
      <c r="D6" s="2" t="s">
        <v>115</v>
      </c>
      <c r="E6" s="2" t="s">
        <v>115</v>
      </c>
      <c r="F6" s="2" t="s">
        <v>115</v>
      </c>
      <c r="G6" s="2" t="s">
        <v>115</v>
      </c>
      <c r="H6" s="2" t="s">
        <v>115</v>
      </c>
      <c r="I6" s="2" t="s">
        <v>115</v>
      </c>
      <c r="J6" s="2" t="s">
        <v>115</v>
      </c>
      <c r="K6" s="2" t="s">
        <v>115</v>
      </c>
      <c r="L6" s="2" t="s">
        <v>115</v>
      </c>
      <c r="M6" s="2" t="s">
        <v>115</v>
      </c>
      <c r="N6" s="2" t="s">
        <v>115</v>
      </c>
      <c r="O6" s="2" t="s">
        <v>115</v>
      </c>
      <c r="P6" s="2" t="s">
        <v>116</v>
      </c>
      <c r="Q6" s="2" t="s">
        <v>115</v>
      </c>
      <c r="R6" s="2" t="s">
        <v>115</v>
      </c>
      <c r="S6" s="2" t="s">
        <v>115</v>
      </c>
    </row>
    <row r="7" spans="1:19">
      <c r="A7" t="s">
        <v>269</v>
      </c>
      <c r="B7" s="29">
        <f t="shared" ref="B7:I7" si="1">SUBTOTAL(9,B10:B510)</f>
        <v>2673059142</v>
      </c>
      <c r="C7" s="29">
        <f t="shared" si="1"/>
        <v>2551616061</v>
      </c>
      <c r="D7" s="29">
        <f t="shared" si="1"/>
        <v>2466283172</v>
      </c>
      <c r="E7" s="29">
        <f t="shared" si="1"/>
        <v>2440225961</v>
      </c>
      <c r="F7" s="29">
        <f t="shared" si="1"/>
        <v>2385624626</v>
      </c>
      <c r="G7" s="29">
        <f t="shared" si="1"/>
        <v>2214362709</v>
      </c>
      <c r="H7" s="29">
        <f t="shared" si="1"/>
        <v>2122771183</v>
      </c>
      <c r="I7" s="29">
        <f t="shared" si="1"/>
        <v>2096962301</v>
      </c>
      <c r="J7" s="29">
        <f>'Budget summary'!J21</f>
        <v>2176658357</v>
      </c>
      <c r="K7" s="29">
        <f>'Budget summary'!K21</f>
        <v>2144142325</v>
      </c>
      <c r="L7" s="29">
        <f>'Budget summary'!L21</f>
        <v>2038808801</v>
      </c>
      <c r="M7" s="29">
        <f>'Budget summary'!M21</f>
        <v>1910433818</v>
      </c>
      <c r="N7" s="29">
        <f>'Budget summary'!N21</f>
        <v>1767440448</v>
      </c>
      <c r="O7" s="29">
        <f>'Budget summary'!O21</f>
        <v>1630701399</v>
      </c>
      <c r="P7" s="29">
        <f>'Budget summary'!P21</f>
        <v>1575963300</v>
      </c>
      <c r="Q7" s="29">
        <f>'Budget summary'!Q21</f>
        <v>1444485900</v>
      </c>
      <c r="R7" s="29">
        <f>'Budget summary'!R21</f>
        <v>1376308900</v>
      </c>
      <c r="S7" s="29">
        <f>'Budget summary'!S21</f>
        <v>1271680100</v>
      </c>
    </row>
    <row r="8" spans="1:19">
      <c r="A8" s="23" t="s">
        <v>270</v>
      </c>
      <c r="B8" s="53">
        <f>SUBTOTAL(9,B10:B122)</f>
        <v>1525147447</v>
      </c>
      <c r="C8" s="53">
        <f>SUBTOTAL(9,C10:C122)</f>
        <v>1457015320</v>
      </c>
      <c r="D8" s="53">
        <f>SUBTOTAL(9,D10:D122)</f>
        <v>1407955382</v>
      </c>
      <c r="E8" s="53">
        <f t="shared" ref="E8:S8" si="2">SUBTOTAL(9,E10:E122)</f>
        <v>1405539523</v>
      </c>
      <c r="F8" s="53">
        <f t="shared" si="2"/>
        <v>1354649129</v>
      </c>
      <c r="G8" s="53">
        <f t="shared" si="2"/>
        <v>1302541662</v>
      </c>
      <c r="H8" s="53">
        <f t="shared" si="2"/>
        <v>1248783922</v>
      </c>
      <c r="I8" s="53">
        <f t="shared" si="2"/>
        <v>1269896062</v>
      </c>
      <c r="J8" s="53">
        <f t="shared" si="2"/>
        <v>1288540745</v>
      </c>
      <c r="K8" s="53">
        <f t="shared" si="2"/>
        <v>1244588986</v>
      </c>
      <c r="L8" s="53">
        <f t="shared" si="2"/>
        <v>1194775690</v>
      </c>
      <c r="M8" s="53">
        <f t="shared" si="2"/>
        <v>1141033430</v>
      </c>
      <c r="N8" s="53">
        <f t="shared" si="2"/>
        <v>1072190539</v>
      </c>
      <c r="O8" s="53">
        <f t="shared" si="2"/>
        <v>1021892728</v>
      </c>
      <c r="P8" s="53">
        <f t="shared" si="2"/>
        <v>979145500</v>
      </c>
      <c r="Q8" s="53">
        <f t="shared" si="2"/>
        <v>931886200</v>
      </c>
      <c r="R8" s="53">
        <f t="shared" si="2"/>
        <v>867049100</v>
      </c>
      <c r="S8" s="53">
        <f t="shared" si="2"/>
        <v>786906900.00000012</v>
      </c>
    </row>
    <row r="9" spans="1:19">
      <c r="C9" s="145"/>
      <c r="D9" s="29"/>
      <c r="E9" s="29"/>
      <c r="F9" s="29"/>
      <c r="G9" s="147"/>
      <c r="H9" s="29"/>
    </row>
    <row r="10" spans="1:19" ht="15">
      <c r="A10" s="31" t="s">
        <v>271</v>
      </c>
      <c r="B10" s="53">
        <f t="shared" ref="B10:I10" si="3">SUBTOTAL(9,B11:B16)</f>
        <v>3220518</v>
      </c>
      <c r="C10" s="53">
        <f t="shared" si="3"/>
        <v>3134303</v>
      </c>
      <c r="D10" s="53">
        <f t="shared" si="3"/>
        <v>3223130</v>
      </c>
      <c r="E10" s="53">
        <f>SUBTOTAL(9,E11:E16)</f>
        <v>3315335</v>
      </c>
      <c r="F10" s="53">
        <f t="shared" si="3"/>
        <v>3248071</v>
      </c>
      <c r="G10" s="53">
        <f t="shared" si="3"/>
        <v>3141823</v>
      </c>
      <c r="H10" s="53">
        <f t="shared" si="3"/>
        <v>3067255</v>
      </c>
      <c r="I10" s="53">
        <f t="shared" si="3"/>
        <v>3063431</v>
      </c>
      <c r="J10" s="53">
        <f t="shared" ref="J10:S10" si="4">SUBTOTAL(9,J11:J17)</f>
        <v>3283683</v>
      </c>
      <c r="K10" s="53">
        <f t="shared" si="4"/>
        <v>3088198</v>
      </c>
      <c r="L10" s="53">
        <f t="shared" si="4"/>
        <v>2991963</v>
      </c>
      <c r="M10" s="53">
        <f t="shared" si="4"/>
        <v>2745046</v>
      </c>
      <c r="N10" s="53">
        <f t="shared" si="4"/>
        <v>2736643</v>
      </c>
      <c r="O10" s="53">
        <f t="shared" si="4"/>
        <v>2633095</v>
      </c>
      <c r="P10" s="53">
        <f t="shared" si="4"/>
        <v>2381300</v>
      </c>
      <c r="Q10" s="53">
        <f t="shared" si="4"/>
        <v>2436900</v>
      </c>
      <c r="R10" s="53">
        <f t="shared" si="4"/>
        <v>2270000</v>
      </c>
      <c r="S10" s="53">
        <f t="shared" si="4"/>
        <v>1440100</v>
      </c>
    </row>
    <row r="11" spans="1:19">
      <c r="A11" t="s">
        <v>272</v>
      </c>
      <c r="B11">
        <v>296906</v>
      </c>
      <c r="C11">
        <v>280100</v>
      </c>
      <c r="D11">
        <v>269417</v>
      </c>
      <c r="E11">
        <v>265000</v>
      </c>
      <c r="F11">
        <v>312805</v>
      </c>
      <c r="G11" s="29">
        <v>302998</v>
      </c>
      <c r="H11" s="29">
        <v>292469</v>
      </c>
      <c r="I11" s="29">
        <v>292469</v>
      </c>
      <c r="J11" s="29">
        <v>292469</v>
      </c>
      <c r="K11" s="29">
        <v>279340</v>
      </c>
      <c r="L11" s="29">
        <v>275963</v>
      </c>
      <c r="M11" s="29">
        <v>251457</v>
      </c>
      <c r="N11" s="29">
        <v>237000</v>
      </c>
      <c r="O11" s="29">
        <v>175833</v>
      </c>
      <c r="P11" s="29">
        <v>152200</v>
      </c>
      <c r="Q11" s="29">
        <v>217000</v>
      </c>
      <c r="R11" s="29">
        <v>205000</v>
      </c>
      <c r="S11" s="29">
        <v>196400</v>
      </c>
    </row>
    <row r="12" spans="1:19">
      <c r="A12" s="24" t="s">
        <v>640</v>
      </c>
      <c r="B12" s="43">
        <v>219852</v>
      </c>
      <c r="C12" s="52">
        <v>211396</v>
      </c>
      <c r="D12" s="43">
        <v>191917</v>
      </c>
      <c r="E12" s="43">
        <v>231601</v>
      </c>
      <c r="F12" s="43">
        <v>228499</v>
      </c>
      <c r="G12" s="29">
        <v>216896</v>
      </c>
      <c r="H12" s="29">
        <v>209359</v>
      </c>
      <c r="I12" s="29">
        <v>209358</v>
      </c>
      <c r="J12" s="29">
        <v>209358</v>
      </c>
      <c r="K12" s="29">
        <v>198496</v>
      </c>
      <c r="L12" s="29">
        <v>188305</v>
      </c>
      <c r="M12" s="29">
        <v>203810</v>
      </c>
      <c r="N12" s="29">
        <v>222766</v>
      </c>
      <c r="O12" s="29">
        <v>361191</v>
      </c>
      <c r="P12" s="29">
        <v>284000</v>
      </c>
      <c r="Q12" s="29">
        <v>0</v>
      </c>
      <c r="R12" s="29">
        <v>400700</v>
      </c>
      <c r="S12" s="29">
        <v>490000</v>
      </c>
    </row>
    <row r="13" spans="1:19">
      <c r="A13" s="24" t="s">
        <v>955</v>
      </c>
      <c r="B13">
        <v>569553</v>
      </c>
      <c r="C13" s="24">
        <v>569571</v>
      </c>
      <c r="D13">
        <v>551047</v>
      </c>
      <c r="E13">
        <v>0</v>
      </c>
      <c r="F13">
        <v>0</v>
      </c>
      <c r="G13" s="29"/>
      <c r="H13" s="29"/>
      <c r="I13" s="29"/>
      <c r="J13" s="29"/>
      <c r="K13" s="29"/>
      <c r="L13" s="29"/>
      <c r="M13" s="29"/>
      <c r="N13" s="29"/>
      <c r="O13" s="29"/>
      <c r="P13" s="29"/>
      <c r="Q13" s="29"/>
      <c r="R13" s="29"/>
      <c r="S13" s="29"/>
    </row>
    <row r="14" spans="1:19">
      <c r="A14" s="24" t="s">
        <v>641</v>
      </c>
      <c r="B14" s="43">
        <v>1946241</v>
      </c>
      <c r="C14" s="52">
        <v>1891679</v>
      </c>
      <c r="D14" s="43">
        <v>2035006</v>
      </c>
      <c r="E14" s="43">
        <v>2570260</v>
      </c>
      <c r="F14" s="43">
        <v>2509483</v>
      </c>
      <c r="G14" s="29">
        <v>2434664</v>
      </c>
      <c r="H14" s="29">
        <v>2383652</v>
      </c>
      <c r="I14" s="29">
        <v>2379829</v>
      </c>
      <c r="J14" s="29">
        <v>2600081</v>
      </c>
      <c r="K14" s="29">
        <v>2435646</v>
      </c>
      <c r="L14" s="29">
        <v>2359763</v>
      </c>
      <c r="M14" s="29">
        <v>2129935</v>
      </c>
      <c r="N14" s="29">
        <v>2124732</v>
      </c>
      <c r="O14" s="29">
        <v>1949834</v>
      </c>
      <c r="P14" s="29">
        <v>1804500</v>
      </c>
      <c r="Q14" s="29">
        <v>2124500</v>
      </c>
      <c r="R14" s="29">
        <v>1664300</v>
      </c>
      <c r="S14" s="29">
        <v>753700</v>
      </c>
    </row>
    <row r="15" spans="1:19">
      <c r="A15" t="s">
        <v>982</v>
      </c>
      <c r="B15">
        <v>0</v>
      </c>
      <c r="C15" s="24">
        <v>0</v>
      </c>
      <c r="D15">
        <v>0</v>
      </c>
      <c r="E15">
        <v>79855</v>
      </c>
      <c r="F15">
        <v>0</v>
      </c>
      <c r="G15" s="29"/>
      <c r="H15" s="29"/>
      <c r="I15" s="29"/>
      <c r="J15" s="29"/>
      <c r="K15" s="29"/>
      <c r="L15" s="29"/>
      <c r="M15" s="29"/>
      <c r="N15" s="29"/>
      <c r="O15" s="29"/>
      <c r="P15" s="29"/>
      <c r="Q15" s="29"/>
      <c r="R15" s="29"/>
      <c r="S15" s="29"/>
    </row>
    <row r="16" spans="1:19">
      <c r="A16" t="s">
        <v>273</v>
      </c>
      <c r="B16">
        <v>187966</v>
      </c>
      <c r="C16">
        <v>181557</v>
      </c>
      <c r="D16">
        <v>175743</v>
      </c>
      <c r="E16">
        <v>168619</v>
      </c>
      <c r="F16">
        <v>197284</v>
      </c>
      <c r="G16" s="29">
        <v>187265</v>
      </c>
      <c r="H16" s="29">
        <v>181775</v>
      </c>
      <c r="I16" s="29">
        <v>181775</v>
      </c>
      <c r="J16" s="29">
        <v>181775</v>
      </c>
      <c r="K16" s="29">
        <v>174716</v>
      </c>
      <c r="L16" s="29">
        <v>167932</v>
      </c>
      <c r="M16" s="29">
        <v>159844</v>
      </c>
      <c r="N16" s="29">
        <v>152145</v>
      </c>
      <c r="O16" s="29">
        <v>146237</v>
      </c>
      <c r="P16" s="29">
        <v>140600</v>
      </c>
      <c r="Q16" s="29">
        <v>95400</v>
      </c>
      <c r="R16" s="29">
        <v>0</v>
      </c>
      <c r="S16" s="29">
        <v>0</v>
      </c>
    </row>
    <row r="17" spans="1:19">
      <c r="E17" s="29"/>
      <c r="F17" s="29"/>
      <c r="G17" s="29"/>
      <c r="H17" s="29"/>
      <c r="J17" s="29"/>
      <c r="S17" s="29"/>
    </row>
    <row r="18" spans="1:19" ht="15">
      <c r="A18" s="31" t="s">
        <v>274</v>
      </c>
      <c r="B18" s="53">
        <f t="shared" ref="B18:S18" si="5">SUBTOTAL(9,B19:B23)</f>
        <v>27369005</v>
      </c>
      <c r="C18" s="53">
        <f t="shared" si="5"/>
        <v>26647109</v>
      </c>
      <c r="D18" s="53">
        <f t="shared" si="5"/>
        <v>25259651</v>
      </c>
      <c r="E18" s="53">
        <f t="shared" si="5"/>
        <v>24602420</v>
      </c>
      <c r="F18" s="53">
        <f t="shared" si="5"/>
        <v>24027934</v>
      </c>
      <c r="G18" s="53">
        <f t="shared" si="5"/>
        <v>23655585</v>
      </c>
      <c r="H18" s="53">
        <f t="shared" si="5"/>
        <v>23104381</v>
      </c>
      <c r="I18" s="53">
        <f t="shared" si="5"/>
        <v>23648185</v>
      </c>
      <c r="J18" s="23">
        <f t="shared" si="5"/>
        <v>23685479</v>
      </c>
      <c r="K18" s="23">
        <f t="shared" si="5"/>
        <v>23054291</v>
      </c>
      <c r="L18" s="23">
        <f t="shared" si="5"/>
        <v>22737747</v>
      </c>
      <c r="M18" s="23">
        <f t="shared" si="5"/>
        <v>21772966</v>
      </c>
      <c r="N18" s="23">
        <f t="shared" si="5"/>
        <v>21411985</v>
      </c>
      <c r="O18" s="23">
        <f t="shared" si="5"/>
        <v>20241818</v>
      </c>
      <c r="P18" s="23">
        <f t="shared" si="5"/>
        <v>19967400</v>
      </c>
      <c r="Q18" s="23">
        <f t="shared" si="5"/>
        <v>18731800</v>
      </c>
      <c r="R18" s="23">
        <f t="shared" si="5"/>
        <v>17955000</v>
      </c>
      <c r="S18" s="23">
        <f t="shared" si="5"/>
        <v>17441000</v>
      </c>
    </row>
    <row r="19" spans="1:19">
      <c r="A19" t="s">
        <v>275</v>
      </c>
      <c r="B19">
        <v>19103038</v>
      </c>
      <c r="C19">
        <v>18591087</v>
      </c>
      <c r="D19" s="43">
        <v>17848623</v>
      </c>
      <c r="E19" s="43">
        <v>17248960</v>
      </c>
      <c r="F19" s="43">
        <v>16829969</v>
      </c>
      <c r="G19" s="29">
        <v>16591851</v>
      </c>
      <c r="H19" s="29">
        <v>16266922</v>
      </c>
      <c r="I19" s="29">
        <v>16610966</v>
      </c>
      <c r="J19">
        <v>16500999</v>
      </c>
      <c r="K19">
        <v>15980104</v>
      </c>
      <c r="L19">
        <v>15593269</v>
      </c>
      <c r="M19">
        <v>14802009</v>
      </c>
      <c r="N19">
        <v>14406830</v>
      </c>
      <c r="O19">
        <v>13482904</v>
      </c>
      <c r="P19">
        <v>13126100</v>
      </c>
      <c r="Q19">
        <v>12279600</v>
      </c>
      <c r="R19">
        <v>11735500</v>
      </c>
      <c r="S19">
        <v>11320200</v>
      </c>
    </row>
    <row r="20" spans="1:19">
      <c r="A20" t="s">
        <v>276</v>
      </c>
      <c r="B20">
        <v>3276590</v>
      </c>
      <c r="C20">
        <v>3162049</v>
      </c>
      <c r="D20">
        <v>3088242</v>
      </c>
      <c r="E20">
        <v>2925607</v>
      </c>
      <c r="F20">
        <v>2898741</v>
      </c>
      <c r="G20" s="29">
        <v>2773613</v>
      </c>
      <c r="H20" s="29">
        <v>2632074</v>
      </c>
      <c r="I20" s="29">
        <v>2628141</v>
      </c>
      <c r="J20">
        <v>2641785</v>
      </c>
      <c r="K20">
        <v>2581991</v>
      </c>
      <c r="L20">
        <v>2593320</v>
      </c>
      <c r="M20">
        <v>2437513</v>
      </c>
      <c r="N20">
        <v>2404565</v>
      </c>
      <c r="O20">
        <v>2148615</v>
      </c>
      <c r="P20">
        <v>2162100</v>
      </c>
      <c r="Q20">
        <v>1983700</v>
      </c>
      <c r="R20">
        <v>1949900</v>
      </c>
      <c r="S20">
        <v>1881700</v>
      </c>
    </row>
    <row r="21" spans="1:19">
      <c r="A21" t="s">
        <v>277</v>
      </c>
      <c r="B21">
        <v>3661863</v>
      </c>
      <c r="C21">
        <v>3588686</v>
      </c>
      <c r="D21">
        <v>3229437</v>
      </c>
      <c r="E21">
        <v>3285470</v>
      </c>
      <c r="F21">
        <v>3198964</v>
      </c>
      <c r="G21" s="29">
        <v>3209192</v>
      </c>
      <c r="H21" s="29">
        <v>3157561</v>
      </c>
      <c r="I21" s="29">
        <v>3204030</v>
      </c>
      <c r="J21">
        <v>3231381</v>
      </c>
      <c r="K21">
        <v>3091922</v>
      </c>
      <c r="L21">
        <v>3079438</v>
      </c>
      <c r="M21">
        <v>2999013</v>
      </c>
      <c r="N21">
        <v>2871802</v>
      </c>
      <c r="O21">
        <v>2530327</v>
      </c>
      <c r="P21">
        <v>2539100</v>
      </c>
      <c r="Q21">
        <v>2362900</v>
      </c>
      <c r="R21">
        <v>2187000</v>
      </c>
      <c r="S21">
        <v>2187300</v>
      </c>
    </row>
    <row r="22" spans="1:19">
      <c r="A22" t="s">
        <v>278</v>
      </c>
      <c r="B22">
        <v>955368</v>
      </c>
      <c r="C22">
        <v>934770</v>
      </c>
      <c r="D22">
        <v>851798</v>
      </c>
      <c r="E22">
        <v>884816</v>
      </c>
      <c r="F22">
        <v>852670</v>
      </c>
      <c r="G22" s="29">
        <v>841133</v>
      </c>
      <c r="H22" s="29">
        <v>768567</v>
      </c>
      <c r="I22" s="29">
        <v>790022</v>
      </c>
      <c r="J22">
        <v>897298</v>
      </c>
      <c r="K22">
        <v>999857</v>
      </c>
      <c r="L22">
        <v>1085421</v>
      </c>
      <c r="M22">
        <v>1165423</v>
      </c>
      <c r="N22">
        <v>1380265</v>
      </c>
      <c r="O22">
        <v>1753596</v>
      </c>
      <c r="P22">
        <v>1828500</v>
      </c>
      <c r="Q22">
        <v>1803700</v>
      </c>
      <c r="R22">
        <v>1798500</v>
      </c>
      <c r="S22">
        <v>1786400</v>
      </c>
    </row>
    <row r="23" spans="1:19">
      <c r="A23" t="s">
        <v>279</v>
      </c>
      <c r="B23">
        <v>372146</v>
      </c>
      <c r="C23">
        <v>370517</v>
      </c>
      <c r="D23">
        <v>241551</v>
      </c>
      <c r="E23">
        <v>257567</v>
      </c>
      <c r="F23">
        <v>247590</v>
      </c>
      <c r="G23" s="29">
        <v>239796</v>
      </c>
      <c r="H23" s="29">
        <v>279257</v>
      </c>
      <c r="I23" s="29">
        <v>415026</v>
      </c>
      <c r="J23">
        <v>414016</v>
      </c>
      <c r="K23">
        <v>400417</v>
      </c>
      <c r="L23">
        <v>386299</v>
      </c>
      <c r="M23">
        <v>369008</v>
      </c>
      <c r="N23">
        <v>348523</v>
      </c>
      <c r="O23">
        <v>326376</v>
      </c>
      <c r="P23">
        <v>311600</v>
      </c>
      <c r="Q23">
        <v>301900</v>
      </c>
      <c r="R23">
        <v>284100</v>
      </c>
      <c r="S23">
        <v>265400</v>
      </c>
    </row>
    <row r="24" spans="1:19">
      <c r="E24" s="29"/>
      <c r="F24" s="29"/>
      <c r="G24" s="29"/>
      <c r="H24" s="29"/>
    </row>
    <row r="25" spans="1:19" ht="15">
      <c r="A25" s="31" t="s">
        <v>280</v>
      </c>
      <c r="B25" s="53">
        <f t="shared" ref="B25:S25" si="6">SUBTOTAL(9,B26:B32)</f>
        <v>50756520</v>
      </c>
      <c r="C25" s="53">
        <f t="shared" si="6"/>
        <v>49494158</v>
      </c>
      <c r="D25" s="53">
        <f t="shared" si="6"/>
        <v>49413217</v>
      </c>
      <c r="E25" s="53">
        <f t="shared" si="6"/>
        <v>49276887</v>
      </c>
      <c r="F25" s="53">
        <f t="shared" si="6"/>
        <v>46650926</v>
      </c>
      <c r="G25" s="53">
        <f t="shared" si="6"/>
        <v>44023967</v>
      </c>
      <c r="H25" s="53">
        <f t="shared" si="6"/>
        <v>42729786</v>
      </c>
      <c r="I25" s="53">
        <f t="shared" si="6"/>
        <v>42915606</v>
      </c>
      <c r="J25" s="23">
        <f t="shared" si="6"/>
        <v>43501197</v>
      </c>
      <c r="K25" s="23">
        <f t="shared" si="6"/>
        <v>41815405</v>
      </c>
      <c r="L25" s="23">
        <f t="shared" si="6"/>
        <v>39904927</v>
      </c>
      <c r="M25" s="23">
        <f t="shared" si="6"/>
        <v>37229227</v>
      </c>
      <c r="N25" s="23">
        <f t="shared" si="6"/>
        <v>34548772</v>
      </c>
      <c r="O25" s="23">
        <f t="shared" si="6"/>
        <v>31844001</v>
      </c>
      <c r="P25" s="23">
        <f t="shared" si="6"/>
        <v>30947900</v>
      </c>
      <c r="Q25" s="23">
        <f t="shared" si="6"/>
        <v>28714600</v>
      </c>
      <c r="R25" s="23">
        <f t="shared" si="6"/>
        <v>26796100</v>
      </c>
      <c r="S25" s="23">
        <f t="shared" si="6"/>
        <v>24610400</v>
      </c>
    </row>
    <row r="26" spans="1:19">
      <c r="A26" t="s">
        <v>281</v>
      </c>
      <c r="B26">
        <v>19359446</v>
      </c>
      <c r="C26">
        <v>19416243</v>
      </c>
      <c r="D26" s="43">
        <v>19106587</v>
      </c>
      <c r="E26" s="43">
        <v>18719314</v>
      </c>
      <c r="F26">
        <v>17407998</v>
      </c>
      <c r="G26" s="29">
        <v>15763497</v>
      </c>
      <c r="H26" s="29">
        <v>15238041</v>
      </c>
      <c r="I26" s="29">
        <v>14820518</v>
      </c>
      <c r="J26">
        <v>14735276</v>
      </c>
      <c r="K26">
        <v>14121449</v>
      </c>
      <c r="L26">
        <v>13334233</v>
      </c>
      <c r="M26">
        <v>12440931</v>
      </c>
      <c r="N26">
        <v>11440340</v>
      </c>
      <c r="O26">
        <v>10545059</v>
      </c>
      <c r="P26">
        <v>10089000</v>
      </c>
      <c r="Q26">
        <v>9702800</v>
      </c>
      <c r="R26">
        <v>8649100</v>
      </c>
      <c r="S26">
        <v>7544000</v>
      </c>
    </row>
    <row r="27" spans="1:19">
      <c r="A27" t="s">
        <v>282</v>
      </c>
      <c r="B27">
        <v>5744770</v>
      </c>
      <c r="C27">
        <v>5614652</v>
      </c>
      <c r="D27" s="43">
        <v>5714586</v>
      </c>
      <c r="E27" s="43">
        <v>5632827</v>
      </c>
      <c r="F27">
        <v>5307821</v>
      </c>
      <c r="G27" s="29">
        <v>5107956</v>
      </c>
      <c r="H27" s="29">
        <v>4950323</v>
      </c>
      <c r="I27" s="29">
        <v>4918027</v>
      </c>
      <c r="J27">
        <v>4976548</v>
      </c>
      <c r="K27">
        <v>4743258</v>
      </c>
      <c r="L27">
        <v>4428390</v>
      </c>
      <c r="M27">
        <v>4075247</v>
      </c>
      <c r="N27">
        <v>3911403</v>
      </c>
      <c r="O27">
        <v>3793664</v>
      </c>
      <c r="P27">
        <v>3707600</v>
      </c>
      <c r="Q27">
        <v>3526400</v>
      </c>
      <c r="R27">
        <v>3403500</v>
      </c>
      <c r="S27">
        <v>3073600</v>
      </c>
    </row>
    <row r="28" spans="1:19">
      <c r="A28" t="s">
        <v>283</v>
      </c>
      <c r="B28">
        <v>13217943</v>
      </c>
      <c r="C28">
        <v>12429988</v>
      </c>
      <c r="D28" s="43">
        <v>12834149</v>
      </c>
      <c r="E28" s="43">
        <v>13179013</v>
      </c>
      <c r="F28">
        <v>12621156</v>
      </c>
      <c r="G28" s="29">
        <v>12209653</v>
      </c>
      <c r="H28" s="29">
        <v>11668571</v>
      </c>
      <c r="I28" s="29">
        <v>11982732</v>
      </c>
      <c r="J28">
        <v>12650627</v>
      </c>
      <c r="K28">
        <v>12233038</v>
      </c>
      <c r="L28">
        <v>11965912</v>
      </c>
      <c r="M28">
        <v>11193064</v>
      </c>
      <c r="N28">
        <v>10329573</v>
      </c>
      <c r="O28">
        <v>9687116</v>
      </c>
      <c r="P28">
        <v>9441200</v>
      </c>
      <c r="Q28">
        <v>8595200</v>
      </c>
      <c r="R28">
        <v>8160300</v>
      </c>
      <c r="S28">
        <v>7620400</v>
      </c>
    </row>
    <row r="29" spans="1:19">
      <c r="A29" t="s">
        <v>284</v>
      </c>
      <c r="B29">
        <v>2922922</v>
      </c>
      <c r="C29">
        <v>2828052</v>
      </c>
      <c r="D29" s="43">
        <v>2927823</v>
      </c>
      <c r="E29" s="43">
        <v>2933364</v>
      </c>
      <c r="F29">
        <v>2688976</v>
      </c>
      <c r="G29" s="29">
        <v>2513357</v>
      </c>
      <c r="H29" s="29">
        <v>2573061</v>
      </c>
      <c r="I29" s="29">
        <v>2640769</v>
      </c>
      <c r="J29">
        <v>2579073</v>
      </c>
      <c r="K29">
        <v>2419578</v>
      </c>
      <c r="L29">
        <v>2080813</v>
      </c>
      <c r="M29">
        <v>1982346</v>
      </c>
      <c r="N29">
        <v>1647194</v>
      </c>
      <c r="O29">
        <v>1216835</v>
      </c>
      <c r="P29">
        <v>1120300</v>
      </c>
      <c r="Q29">
        <v>726600</v>
      </c>
      <c r="R29">
        <v>582400</v>
      </c>
      <c r="S29">
        <v>634700</v>
      </c>
    </row>
    <row r="30" spans="1:19">
      <c r="A30" t="s">
        <v>285</v>
      </c>
      <c r="B30">
        <v>620540</v>
      </c>
      <c r="C30">
        <v>567962</v>
      </c>
      <c r="D30" s="43">
        <v>502109</v>
      </c>
      <c r="E30" s="43">
        <v>547470</v>
      </c>
      <c r="F30">
        <v>540500</v>
      </c>
      <c r="G30" s="29">
        <v>616028</v>
      </c>
      <c r="H30" s="29">
        <v>586218</v>
      </c>
      <c r="I30" s="29">
        <v>612425</v>
      </c>
      <c r="J30">
        <v>531908</v>
      </c>
      <c r="K30">
        <v>424467</v>
      </c>
      <c r="L30">
        <v>389311</v>
      </c>
      <c r="M30">
        <v>111550</v>
      </c>
      <c r="N30">
        <v>115814</v>
      </c>
      <c r="O30">
        <v>0</v>
      </c>
      <c r="P30">
        <v>0</v>
      </c>
      <c r="Q30">
        <v>0</v>
      </c>
      <c r="R30">
        <v>0</v>
      </c>
      <c r="S30">
        <v>0</v>
      </c>
    </row>
    <row r="31" spans="1:19">
      <c r="A31" t="s">
        <v>286</v>
      </c>
      <c r="B31">
        <v>2964430</v>
      </c>
      <c r="C31">
        <v>2891969</v>
      </c>
      <c r="D31" s="43">
        <v>2776571</v>
      </c>
      <c r="E31" s="43">
        <v>2736940</v>
      </c>
      <c r="F31">
        <v>2673017</v>
      </c>
      <c r="G31" s="29">
        <v>2567824</v>
      </c>
      <c r="H31" s="29">
        <v>2587186</v>
      </c>
      <c r="I31" s="29">
        <v>2475549</v>
      </c>
      <c r="J31">
        <v>2487998</v>
      </c>
      <c r="K31">
        <v>2471621</v>
      </c>
      <c r="L31">
        <v>2443327</v>
      </c>
      <c r="M31">
        <v>2314517</v>
      </c>
      <c r="N31">
        <v>2233805</v>
      </c>
      <c r="O31">
        <v>2113147</v>
      </c>
      <c r="P31">
        <v>2160000</v>
      </c>
      <c r="Q31">
        <v>2140100</v>
      </c>
      <c r="R31">
        <v>2078199.9999999998</v>
      </c>
      <c r="S31">
        <v>1933800</v>
      </c>
    </row>
    <row r="32" spans="1:19">
      <c r="A32" s="24" t="s">
        <v>996</v>
      </c>
      <c r="B32" s="43">
        <v>5926469</v>
      </c>
      <c r="C32" s="43">
        <v>5745292</v>
      </c>
      <c r="D32" s="52">
        <v>5551392</v>
      </c>
      <c r="E32" s="43">
        <v>5527959</v>
      </c>
      <c r="F32" s="43">
        <v>5411458</v>
      </c>
      <c r="G32" s="29">
        <v>5245652</v>
      </c>
      <c r="H32" s="29">
        <v>5126386</v>
      </c>
      <c r="I32" s="29">
        <v>5465586</v>
      </c>
      <c r="J32">
        <v>5539767</v>
      </c>
      <c r="K32">
        <v>5401994</v>
      </c>
      <c r="L32">
        <v>5262941</v>
      </c>
      <c r="M32">
        <v>5111572</v>
      </c>
      <c r="N32">
        <v>4870643</v>
      </c>
      <c r="O32">
        <v>4488180</v>
      </c>
      <c r="P32">
        <v>4429800</v>
      </c>
      <c r="Q32">
        <v>4023500</v>
      </c>
      <c r="R32">
        <v>3922600</v>
      </c>
      <c r="S32">
        <v>3803900</v>
      </c>
    </row>
    <row r="33" spans="1:19">
      <c r="E33" s="29"/>
      <c r="F33" s="29"/>
      <c r="G33" s="29"/>
      <c r="H33" s="29"/>
    </row>
    <row r="34" spans="1:19" ht="15">
      <c r="A34" s="31" t="s">
        <v>287</v>
      </c>
      <c r="B34" s="53">
        <f>SUBTOTAL(9,B35:B37)</f>
        <v>18413583</v>
      </c>
      <c r="C34" s="53">
        <f>SUBTOTAL(9,C35:C37)</f>
        <v>17913505</v>
      </c>
      <c r="D34" s="53">
        <f>SUBTOTAL(9,D35:D37)</f>
        <v>17358076</v>
      </c>
      <c r="E34" s="53">
        <f t="shared" ref="E34:S34" si="7">SUBTOTAL(9,E36:E37)</f>
        <v>17009053</v>
      </c>
      <c r="F34" s="53">
        <f t="shared" si="7"/>
        <v>16429451</v>
      </c>
      <c r="G34" s="53">
        <f t="shared" si="7"/>
        <v>16184715</v>
      </c>
      <c r="H34" s="53">
        <f t="shared" si="7"/>
        <v>16369317</v>
      </c>
      <c r="I34" s="53">
        <f t="shared" si="7"/>
        <v>16524853</v>
      </c>
      <c r="J34" s="23">
        <f t="shared" si="7"/>
        <v>19091027</v>
      </c>
      <c r="K34" s="23">
        <f t="shared" si="7"/>
        <v>18462316</v>
      </c>
      <c r="L34" s="23">
        <f t="shared" si="7"/>
        <v>17885309</v>
      </c>
      <c r="M34" s="23">
        <f t="shared" si="7"/>
        <v>17594510</v>
      </c>
      <c r="N34" s="23">
        <f t="shared" si="7"/>
        <v>16523007</v>
      </c>
      <c r="O34" s="23">
        <f t="shared" si="7"/>
        <v>16356924</v>
      </c>
      <c r="P34" s="23">
        <f t="shared" si="7"/>
        <v>16079500</v>
      </c>
      <c r="Q34" s="23">
        <f t="shared" si="7"/>
        <v>15996900</v>
      </c>
      <c r="R34" s="23">
        <f t="shared" si="7"/>
        <v>14950400</v>
      </c>
      <c r="S34" s="23">
        <f t="shared" si="7"/>
        <v>13484700</v>
      </c>
    </row>
    <row r="35" spans="1:19" ht="15">
      <c r="A35" s="127" t="s">
        <v>956</v>
      </c>
      <c r="B35" s="127">
        <v>1008535</v>
      </c>
      <c r="C35" s="127">
        <v>1004704</v>
      </c>
      <c r="D35" s="29">
        <v>974055</v>
      </c>
      <c r="E35">
        <v>0</v>
      </c>
      <c r="F35">
        <v>0</v>
      </c>
      <c r="G35" s="29"/>
      <c r="H35" s="29"/>
      <c r="I35" s="29"/>
    </row>
    <row r="36" spans="1:19">
      <c r="A36" t="s">
        <v>288</v>
      </c>
      <c r="B36">
        <v>4512756</v>
      </c>
      <c r="C36">
        <v>4392091</v>
      </c>
      <c r="D36" s="29">
        <v>4074883</v>
      </c>
      <c r="E36">
        <v>5054659</v>
      </c>
      <c r="F36">
        <v>4946819</v>
      </c>
      <c r="G36" s="29">
        <v>5076630</v>
      </c>
      <c r="H36" s="29">
        <v>4998755</v>
      </c>
      <c r="I36" s="29">
        <v>4912948</v>
      </c>
      <c r="J36">
        <v>6132787</v>
      </c>
      <c r="K36">
        <v>6016459</v>
      </c>
      <c r="L36">
        <v>6083146</v>
      </c>
      <c r="M36">
        <v>5963926</v>
      </c>
      <c r="N36">
        <v>4619304</v>
      </c>
      <c r="O36">
        <v>4415542</v>
      </c>
      <c r="P36">
        <v>4251200</v>
      </c>
      <c r="Q36">
        <v>4276600</v>
      </c>
      <c r="R36">
        <v>4293700</v>
      </c>
      <c r="S36">
        <v>4408800</v>
      </c>
    </row>
    <row r="37" spans="1:19">
      <c r="A37" t="s">
        <v>289</v>
      </c>
      <c r="B37">
        <v>12892292</v>
      </c>
      <c r="C37">
        <v>12516710</v>
      </c>
      <c r="D37" s="29">
        <v>12309138</v>
      </c>
      <c r="E37">
        <v>11954394</v>
      </c>
      <c r="F37">
        <v>11482632</v>
      </c>
      <c r="G37" s="29">
        <v>11108085</v>
      </c>
      <c r="H37" s="29">
        <v>11370562</v>
      </c>
      <c r="I37" s="29">
        <v>11611905</v>
      </c>
      <c r="J37">
        <v>12958240</v>
      </c>
      <c r="K37">
        <v>12445857</v>
      </c>
      <c r="L37">
        <v>11802163</v>
      </c>
      <c r="M37">
        <v>11630584</v>
      </c>
      <c r="N37">
        <v>11903703</v>
      </c>
      <c r="O37">
        <v>11941382</v>
      </c>
      <c r="P37">
        <v>11828300</v>
      </c>
      <c r="Q37">
        <v>11720300</v>
      </c>
      <c r="R37">
        <v>10656700</v>
      </c>
      <c r="S37">
        <v>9075900</v>
      </c>
    </row>
    <row r="38" spans="1:19">
      <c r="E38" s="29"/>
      <c r="F38" s="29"/>
      <c r="G38" s="29"/>
      <c r="H38" s="29"/>
    </row>
    <row r="39" spans="1:19" ht="15">
      <c r="A39" s="31" t="s">
        <v>290</v>
      </c>
      <c r="B39" s="53">
        <f t="shared" ref="B39:I39" si="8">SUBTOTAL(9,B40:B50)</f>
        <v>123014249</v>
      </c>
      <c r="C39" s="53">
        <f t="shared" si="8"/>
        <v>118309859</v>
      </c>
      <c r="D39" s="53">
        <f t="shared" si="8"/>
        <v>116064084</v>
      </c>
      <c r="E39" s="53">
        <f t="shared" si="8"/>
        <v>117365445</v>
      </c>
      <c r="F39" s="53">
        <f t="shared" si="8"/>
        <v>111751430</v>
      </c>
      <c r="G39" s="53">
        <f t="shared" si="8"/>
        <v>105092425</v>
      </c>
      <c r="H39" s="53">
        <f t="shared" si="8"/>
        <v>98562579</v>
      </c>
      <c r="I39" s="53">
        <f t="shared" si="8"/>
        <v>100355020</v>
      </c>
      <c r="J39" s="53">
        <f t="shared" ref="J39:S39" si="9">SUBTOTAL(9,J40:J52)</f>
        <v>100132992</v>
      </c>
      <c r="K39" s="53">
        <f t="shared" si="9"/>
        <v>96946085</v>
      </c>
      <c r="L39" s="53">
        <f t="shared" si="9"/>
        <v>91708197</v>
      </c>
      <c r="M39" s="53">
        <f t="shared" si="9"/>
        <v>84358349</v>
      </c>
      <c r="N39" s="53">
        <f t="shared" si="9"/>
        <v>74631479</v>
      </c>
      <c r="O39" s="53">
        <f t="shared" si="9"/>
        <v>68697185</v>
      </c>
      <c r="P39" s="53">
        <f t="shared" si="9"/>
        <v>62705100</v>
      </c>
      <c r="Q39" s="53">
        <f t="shared" si="9"/>
        <v>56167800</v>
      </c>
      <c r="R39" s="53">
        <f t="shared" si="9"/>
        <v>47121700</v>
      </c>
      <c r="S39" s="53">
        <f t="shared" si="9"/>
        <v>34774200</v>
      </c>
    </row>
    <row r="40" spans="1:19">
      <c r="A40" t="s">
        <v>291</v>
      </c>
      <c r="B40">
        <v>814869</v>
      </c>
      <c r="C40">
        <v>883478</v>
      </c>
      <c r="D40">
        <v>845763</v>
      </c>
      <c r="E40">
        <v>829746</v>
      </c>
      <c r="F40">
        <v>777237</v>
      </c>
      <c r="G40" s="29">
        <v>759680</v>
      </c>
      <c r="H40" s="29">
        <v>822711</v>
      </c>
      <c r="I40" s="29">
        <v>768631</v>
      </c>
      <c r="J40">
        <v>874126</v>
      </c>
      <c r="K40">
        <v>822260</v>
      </c>
      <c r="L40">
        <v>811082</v>
      </c>
      <c r="M40">
        <v>791364</v>
      </c>
      <c r="N40" s="29">
        <v>715548</v>
      </c>
      <c r="O40" s="29">
        <v>826994</v>
      </c>
      <c r="P40">
        <v>665100</v>
      </c>
      <c r="Q40">
        <v>639000</v>
      </c>
      <c r="R40">
        <v>543200</v>
      </c>
      <c r="S40">
        <v>487000</v>
      </c>
    </row>
    <row r="41" spans="1:19">
      <c r="A41" t="s">
        <v>292</v>
      </c>
      <c r="B41">
        <v>286005</v>
      </c>
      <c r="C41">
        <v>263539</v>
      </c>
      <c r="D41">
        <v>241667</v>
      </c>
      <c r="E41">
        <v>359422</v>
      </c>
      <c r="F41">
        <v>345498</v>
      </c>
      <c r="G41" s="29">
        <v>335497</v>
      </c>
      <c r="H41" s="29">
        <v>343201</v>
      </c>
      <c r="I41" s="29">
        <v>355469</v>
      </c>
      <c r="J41">
        <v>362958</v>
      </c>
      <c r="K41">
        <v>395315</v>
      </c>
      <c r="L41">
        <v>425006</v>
      </c>
      <c r="M41">
        <v>438118</v>
      </c>
      <c r="N41" s="29">
        <v>411913</v>
      </c>
      <c r="O41" s="29">
        <v>356487</v>
      </c>
      <c r="P41">
        <v>313600</v>
      </c>
      <c r="Q41">
        <v>216200</v>
      </c>
      <c r="R41">
        <v>202400</v>
      </c>
      <c r="S41">
        <v>193700</v>
      </c>
    </row>
    <row r="42" spans="1:19">
      <c r="A42" t="s">
        <v>293</v>
      </c>
      <c r="B42">
        <v>737800</v>
      </c>
      <c r="C42">
        <v>747772</v>
      </c>
      <c r="D42">
        <v>587255</v>
      </c>
      <c r="E42">
        <v>394118</v>
      </c>
      <c r="F42">
        <v>373308</v>
      </c>
      <c r="G42" s="29">
        <v>290675</v>
      </c>
      <c r="H42" s="29">
        <v>246848</v>
      </c>
      <c r="I42" s="29">
        <v>430733</v>
      </c>
      <c r="J42">
        <v>428603</v>
      </c>
      <c r="K42">
        <v>412092</v>
      </c>
      <c r="L42">
        <v>389731</v>
      </c>
      <c r="M42">
        <v>161225</v>
      </c>
      <c r="N42" s="29">
        <v>204523</v>
      </c>
      <c r="O42" s="29">
        <v>216479</v>
      </c>
      <c r="P42">
        <v>279300</v>
      </c>
      <c r="Q42">
        <v>198500</v>
      </c>
      <c r="R42">
        <v>106000</v>
      </c>
      <c r="S42">
        <v>83800</v>
      </c>
    </row>
    <row r="43" spans="1:19">
      <c r="A43" t="s">
        <v>294</v>
      </c>
      <c r="B43">
        <v>9162354</v>
      </c>
      <c r="C43">
        <v>8598618</v>
      </c>
      <c r="D43">
        <v>7993349</v>
      </c>
      <c r="E43">
        <v>8408140</v>
      </c>
      <c r="F43">
        <v>7968959</v>
      </c>
      <c r="G43" s="29">
        <v>6631160</v>
      </c>
      <c r="H43" s="29">
        <v>5432905</v>
      </c>
      <c r="I43" s="29">
        <v>4380804</v>
      </c>
      <c r="J43">
        <v>28691</v>
      </c>
      <c r="K43" t="s">
        <v>4</v>
      </c>
      <c r="L43" t="s">
        <v>4</v>
      </c>
      <c r="M43">
        <v>0</v>
      </c>
      <c r="N43" s="29">
        <v>0</v>
      </c>
      <c r="O43" s="29">
        <v>0</v>
      </c>
      <c r="P43">
        <v>0</v>
      </c>
      <c r="Q43">
        <v>0</v>
      </c>
      <c r="R43">
        <v>0</v>
      </c>
      <c r="S43">
        <v>0</v>
      </c>
    </row>
    <row r="44" spans="1:19">
      <c r="A44" t="s">
        <v>295</v>
      </c>
      <c r="B44">
        <v>415933</v>
      </c>
      <c r="C44">
        <v>401231</v>
      </c>
      <c r="D44">
        <v>383166</v>
      </c>
      <c r="E44">
        <v>305125</v>
      </c>
      <c r="F44">
        <v>264489</v>
      </c>
      <c r="G44" s="29">
        <v>0</v>
      </c>
      <c r="H44" s="29">
        <v>0</v>
      </c>
      <c r="I44" s="29">
        <v>0</v>
      </c>
      <c r="N44" s="29"/>
      <c r="O44" s="29"/>
    </row>
    <row r="45" spans="1:19">
      <c r="A45" t="s">
        <v>296</v>
      </c>
      <c r="B45">
        <v>1820555</v>
      </c>
      <c r="C45">
        <v>1769413</v>
      </c>
      <c r="D45">
        <v>1644251</v>
      </c>
      <c r="E45">
        <v>1742896</v>
      </c>
      <c r="F45">
        <v>1720034</v>
      </c>
      <c r="G45" s="29">
        <v>1684382</v>
      </c>
      <c r="H45" s="29">
        <v>1594955</v>
      </c>
      <c r="I45" s="29">
        <v>1581268</v>
      </c>
      <c r="J45">
        <v>1585921</v>
      </c>
      <c r="K45">
        <v>1524396</v>
      </c>
      <c r="L45">
        <v>1442778</v>
      </c>
      <c r="M45">
        <v>1333207</v>
      </c>
      <c r="N45" s="29">
        <v>0</v>
      </c>
      <c r="O45" s="29">
        <v>0</v>
      </c>
      <c r="P45">
        <v>0</v>
      </c>
      <c r="Q45">
        <v>0</v>
      </c>
      <c r="R45">
        <v>0</v>
      </c>
      <c r="S45">
        <v>0</v>
      </c>
    </row>
    <row r="46" spans="1:19">
      <c r="A46" t="s">
        <v>297</v>
      </c>
      <c r="B46">
        <v>13351618</v>
      </c>
      <c r="C46">
        <v>13037076</v>
      </c>
      <c r="D46">
        <v>12438690</v>
      </c>
      <c r="E46">
        <v>12278265</v>
      </c>
      <c r="F46">
        <v>11506945</v>
      </c>
      <c r="G46" s="29">
        <v>10816402</v>
      </c>
      <c r="H46" s="29">
        <v>10544732</v>
      </c>
      <c r="I46" s="29">
        <v>10621003</v>
      </c>
      <c r="J46">
        <v>11133147</v>
      </c>
      <c r="K46">
        <v>10502901</v>
      </c>
      <c r="L46">
        <v>10098053</v>
      </c>
      <c r="M46">
        <v>9984212</v>
      </c>
      <c r="N46" s="29">
        <v>9363974</v>
      </c>
      <c r="O46" s="29">
        <v>9132328</v>
      </c>
      <c r="P46">
        <v>9480900</v>
      </c>
      <c r="Q46">
        <v>7963800</v>
      </c>
      <c r="R46">
        <v>7531500</v>
      </c>
      <c r="S46">
        <v>6957600</v>
      </c>
    </row>
    <row r="47" spans="1:19">
      <c r="A47" t="s">
        <v>298</v>
      </c>
      <c r="B47">
        <v>12762004</v>
      </c>
      <c r="C47">
        <v>12402635</v>
      </c>
      <c r="D47">
        <v>11775619</v>
      </c>
      <c r="E47">
        <v>11724326</v>
      </c>
      <c r="F47">
        <v>10845628</v>
      </c>
      <c r="G47" s="29">
        <v>10046226</v>
      </c>
      <c r="H47" s="29">
        <v>9597355</v>
      </c>
      <c r="I47" s="29">
        <v>9871164</v>
      </c>
      <c r="J47">
        <v>10383943</v>
      </c>
      <c r="K47">
        <v>9900924</v>
      </c>
      <c r="L47">
        <v>9851009</v>
      </c>
      <c r="M47">
        <v>9545559</v>
      </c>
      <c r="N47" s="29">
        <v>9269796</v>
      </c>
      <c r="O47" s="29">
        <v>8930272</v>
      </c>
      <c r="P47">
        <v>8058300</v>
      </c>
      <c r="Q47">
        <v>7787300</v>
      </c>
      <c r="R47">
        <v>7094100</v>
      </c>
      <c r="S47">
        <v>6328900</v>
      </c>
    </row>
    <row r="48" spans="1:19">
      <c r="A48" t="s">
        <v>299</v>
      </c>
      <c r="B48">
        <v>13170807</v>
      </c>
      <c r="C48">
        <v>12346600</v>
      </c>
      <c r="D48">
        <v>13172237</v>
      </c>
      <c r="E48">
        <v>13485881</v>
      </c>
      <c r="F48">
        <v>12630365</v>
      </c>
      <c r="G48" s="29">
        <v>11774264</v>
      </c>
      <c r="H48" s="29">
        <v>11175224</v>
      </c>
      <c r="I48" s="29">
        <v>11537366</v>
      </c>
      <c r="J48">
        <v>12860391</v>
      </c>
      <c r="K48">
        <v>12909347</v>
      </c>
      <c r="L48">
        <v>12247217</v>
      </c>
      <c r="M48">
        <v>11321458</v>
      </c>
      <c r="N48" s="29">
        <v>10755361</v>
      </c>
      <c r="O48" s="29">
        <v>10095510</v>
      </c>
      <c r="P48">
        <v>9539300</v>
      </c>
      <c r="Q48">
        <v>8540100</v>
      </c>
      <c r="R48">
        <v>7820300</v>
      </c>
      <c r="S48">
        <v>6631600</v>
      </c>
    </row>
    <row r="49" spans="1:19">
      <c r="A49" s="24" t="s">
        <v>642</v>
      </c>
      <c r="B49" s="52">
        <v>18723284</v>
      </c>
      <c r="C49" s="52">
        <v>17926830</v>
      </c>
      <c r="D49" s="43">
        <v>18011731</v>
      </c>
      <c r="E49" s="43">
        <v>18133152</v>
      </c>
      <c r="F49" s="43">
        <v>17266758</v>
      </c>
      <c r="G49" s="29">
        <v>17395378</v>
      </c>
      <c r="H49" s="29">
        <v>16345562</v>
      </c>
      <c r="I49" s="29">
        <v>16909290</v>
      </c>
      <c r="J49">
        <v>18285657</v>
      </c>
      <c r="K49">
        <v>18141624</v>
      </c>
      <c r="L49">
        <v>15797616</v>
      </c>
      <c r="M49">
        <v>13819561</v>
      </c>
      <c r="N49">
        <v>12207922</v>
      </c>
      <c r="O49">
        <v>10500497</v>
      </c>
      <c r="P49">
        <v>10351400</v>
      </c>
      <c r="Q49">
        <v>8571000</v>
      </c>
      <c r="R49">
        <v>6439900</v>
      </c>
      <c r="S49">
        <v>5442300</v>
      </c>
    </row>
    <row r="50" spans="1:19">
      <c r="A50" t="s">
        <v>300</v>
      </c>
      <c r="B50">
        <v>51769020</v>
      </c>
      <c r="C50">
        <v>49932667</v>
      </c>
      <c r="D50">
        <v>48970356</v>
      </c>
      <c r="E50">
        <v>49704374</v>
      </c>
      <c r="F50">
        <v>48052209</v>
      </c>
      <c r="G50" s="29">
        <v>45358761</v>
      </c>
      <c r="H50" s="29">
        <v>42459086</v>
      </c>
      <c r="I50" s="29">
        <v>43899292</v>
      </c>
      <c r="J50">
        <v>44189555</v>
      </c>
      <c r="K50">
        <v>42337226</v>
      </c>
      <c r="L50">
        <v>40645705</v>
      </c>
      <c r="M50">
        <v>36963645</v>
      </c>
      <c r="N50">
        <v>31702442</v>
      </c>
      <c r="O50">
        <v>28638618</v>
      </c>
      <c r="P50">
        <v>24017200</v>
      </c>
      <c r="Q50">
        <v>22251900</v>
      </c>
      <c r="R50">
        <v>17384300</v>
      </c>
      <c r="S50">
        <v>8649300</v>
      </c>
    </row>
    <row r="51" spans="1:19">
      <c r="E51" s="29"/>
      <c r="F51" s="29"/>
      <c r="G51" s="29"/>
      <c r="H51" s="29"/>
    </row>
    <row r="52" spans="1:19" ht="15">
      <c r="A52" s="31" t="s">
        <v>301</v>
      </c>
      <c r="B52" s="53">
        <f t="shared" ref="B52:S52" si="10">SUBTOTAL(9,B53:B56)</f>
        <v>28468720</v>
      </c>
      <c r="C52" s="53">
        <f t="shared" si="10"/>
        <v>27497411</v>
      </c>
      <c r="D52" s="53">
        <f>SUBTOTAL(9,D53:D56)</f>
        <v>26459916</v>
      </c>
      <c r="E52" s="53">
        <f t="shared" si="10"/>
        <v>26941359</v>
      </c>
      <c r="F52" s="53">
        <f t="shared" si="10"/>
        <v>25694746</v>
      </c>
      <c r="G52" s="53">
        <f t="shared" si="10"/>
        <v>22617459</v>
      </c>
      <c r="H52" s="53">
        <f t="shared" si="10"/>
        <v>20734793</v>
      </c>
      <c r="I52" s="53">
        <f t="shared" si="10"/>
        <v>20656527</v>
      </c>
      <c r="J52" s="53">
        <f t="shared" si="10"/>
        <v>21032262</v>
      </c>
      <c r="K52" s="53">
        <f t="shared" si="10"/>
        <v>20366487</v>
      </c>
      <c r="L52" s="53">
        <f t="shared" si="10"/>
        <v>19482180</v>
      </c>
      <c r="M52" s="53">
        <f t="shared" si="10"/>
        <v>18556564</v>
      </c>
      <c r="N52" s="53">
        <f t="shared" si="10"/>
        <v>17316801</v>
      </c>
      <c r="O52" s="53">
        <f t="shared" si="10"/>
        <v>17189859</v>
      </c>
      <c r="P52" s="53">
        <f t="shared" si="10"/>
        <v>18552800</v>
      </c>
      <c r="Q52" s="53">
        <f t="shared" si="10"/>
        <v>16987200</v>
      </c>
      <c r="R52" s="53">
        <f t="shared" si="10"/>
        <v>18163400</v>
      </c>
      <c r="S52" s="53">
        <f t="shared" si="10"/>
        <v>16029000</v>
      </c>
    </row>
    <row r="53" spans="1:19">
      <c r="A53" t="s">
        <v>302</v>
      </c>
      <c r="B53">
        <v>19402887</v>
      </c>
      <c r="C53">
        <v>18738971</v>
      </c>
      <c r="D53">
        <v>17861295</v>
      </c>
      <c r="E53">
        <v>18483664</v>
      </c>
      <c r="F53">
        <v>17455434</v>
      </c>
      <c r="G53" s="29">
        <v>14775254</v>
      </c>
      <c r="H53" s="29">
        <v>12984060</v>
      </c>
      <c r="I53" s="29">
        <v>12762021</v>
      </c>
      <c r="J53" s="29">
        <v>13036033</v>
      </c>
      <c r="K53" s="29">
        <v>12679084</v>
      </c>
      <c r="L53" s="29">
        <v>12092465</v>
      </c>
      <c r="M53" s="29">
        <v>11572850</v>
      </c>
      <c r="N53" s="29">
        <v>10726298</v>
      </c>
      <c r="O53" s="29">
        <v>10889790</v>
      </c>
      <c r="P53" s="29">
        <v>10691400</v>
      </c>
      <c r="Q53" s="29">
        <v>9653000</v>
      </c>
      <c r="R53" s="29">
        <v>11587100</v>
      </c>
      <c r="S53" s="29">
        <v>10271800</v>
      </c>
    </row>
    <row r="54" spans="1:19">
      <c r="A54" t="s">
        <v>303</v>
      </c>
      <c r="B54">
        <v>3123513</v>
      </c>
      <c r="C54">
        <v>2986173</v>
      </c>
      <c r="D54">
        <v>2897169</v>
      </c>
      <c r="E54">
        <v>2880744</v>
      </c>
      <c r="F54">
        <v>2861713</v>
      </c>
      <c r="G54" s="29">
        <v>2778484</v>
      </c>
      <c r="H54" s="29">
        <v>2906666</v>
      </c>
      <c r="I54" s="29">
        <v>2907765</v>
      </c>
      <c r="J54" s="29">
        <v>2832478</v>
      </c>
      <c r="K54" s="29">
        <v>2818101</v>
      </c>
      <c r="L54" s="29">
        <v>2775159</v>
      </c>
      <c r="M54" s="29">
        <v>2553460</v>
      </c>
      <c r="N54" s="29">
        <v>2434361</v>
      </c>
      <c r="O54" s="29">
        <v>2371006</v>
      </c>
      <c r="P54" s="29">
        <v>2278300</v>
      </c>
      <c r="Q54" s="29">
        <v>2152500</v>
      </c>
      <c r="R54" s="29">
        <v>1741900</v>
      </c>
      <c r="S54" s="29">
        <v>1393100</v>
      </c>
    </row>
    <row r="55" spans="1:19">
      <c r="A55" s="24" t="s">
        <v>643</v>
      </c>
      <c r="B55" s="52">
        <v>1482131</v>
      </c>
      <c r="C55" s="52">
        <v>1421947</v>
      </c>
      <c r="D55" s="43">
        <v>1372704</v>
      </c>
      <c r="E55" s="43">
        <v>1297668</v>
      </c>
      <c r="F55" s="43">
        <v>1243786</v>
      </c>
      <c r="G55" s="29">
        <v>1199721</v>
      </c>
      <c r="H55" s="29">
        <v>1146433</v>
      </c>
      <c r="I55" s="29">
        <v>1222672</v>
      </c>
      <c r="J55" s="29">
        <v>1273754</v>
      </c>
      <c r="K55" s="29">
        <v>1215155</v>
      </c>
      <c r="L55" s="29">
        <v>1169914</v>
      </c>
      <c r="M55" s="29">
        <v>1100903</v>
      </c>
      <c r="N55" s="29">
        <v>1033995</v>
      </c>
      <c r="O55" s="29">
        <v>1003241</v>
      </c>
      <c r="P55" s="29">
        <v>2777000</v>
      </c>
      <c r="Q55" s="29">
        <v>2597100</v>
      </c>
      <c r="R55" s="29">
        <v>2360200</v>
      </c>
      <c r="S55" s="29">
        <v>2129400</v>
      </c>
    </row>
    <row r="56" spans="1:19">
      <c r="A56" t="s">
        <v>304</v>
      </c>
      <c r="B56">
        <v>4460189</v>
      </c>
      <c r="C56">
        <v>4350320</v>
      </c>
      <c r="D56">
        <v>4328748</v>
      </c>
      <c r="E56">
        <v>4279283</v>
      </c>
      <c r="F56">
        <v>4133813</v>
      </c>
      <c r="G56" s="29">
        <v>3864000</v>
      </c>
      <c r="H56" s="29">
        <v>3697634</v>
      </c>
      <c r="I56" s="29">
        <v>3764069</v>
      </c>
      <c r="J56" s="29">
        <v>3889997</v>
      </c>
      <c r="K56" s="29">
        <v>3654147</v>
      </c>
      <c r="L56" s="29">
        <v>3444642</v>
      </c>
      <c r="M56" s="29">
        <v>3329351</v>
      </c>
      <c r="N56" s="29">
        <v>3122147</v>
      </c>
      <c r="O56" s="29">
        <v>2925822</v>
      </c>
      <c r="P56" s="29">
        <v>2806100</v>
      </c>
      <c r="Q56" s="29">
        <v>2584600</v>
      </c>
      <c r="R56" s="29">
        <v>2474200</v>
      </c>
      <c r="S56" s="29">
        <v>2234700</v>
      </c>
    </row>
    <row r="57" spans="1:19">
      <c r="E57" s="29"/>
      <c r="F57" s="29"/>
      <c r="G57" s="29"/>
      <c r="H57" s="29"/>
      <c r="J57" s="29"/>
      <c r="K57" s="29"/>
      <c r="L57" s="29"/>
      <c r="M57" s="29"/>
      <c r="N57" s="29"/>
      <c r="O57" s="29"/>
      <c r="P57" s="29"/>
      <c r="Q57" s="29"/>
      <c r="R57" s="29"/>
      <c r="S57" s="29"/>
    </row>
    <row r="58" spans="1:19">
      <c r="A58" s="23" t="s">
        <v>305</v>
      </c>
      <c r="B58" s="53">
        <f t="shared" ref="B58:S58" si="11">SUBTOTAL(9,B59:B85)</f>
        <v>1078394024</v>
      </c>
      <c r="C58" s="53">
        <f t="shared" si="11"/>
        <v>1024758405</v>
      </c>
      <c r="D58" s="53">
        <f t="shared" si="11"/>
        <v>959516716</v>
      </c>
      <c r="E58" s="53">
        <f t="shared" si="11"/>
        <v>956933240</v>
      </c>
      <c r="F58" s="53">
        <f t="shared" si="11"/>
        <v>922083851</v>
      </c>
      <c r="G58" s="53">
        <f t="shared" si="11"/>
        <v>890933853</v>
      </c>
      <c r="H58" s="53">
        <f t="shared" si="11"/>
        <v>852864609</v>
      </c>
      <c r="I58" s="53">
        <f t="shared" si="11"/>
        <v>862775216</v>
      </c>
      <c r="J58" s="53">
        <f t="shared" si="11"/>
        <v>875932602</v>
      </c>
      <c r="K58" s="53">
        <f t="shared" si="11"/>
        <v>846008033</v>
      </c>
      <c r="L58" s="53">
        <f t="shared" si="11"/>
        <v>815775121</v>
      </c>
      <c r="M58" s="53">
        <f t="shared" si="11"/>
        <v>782809440</v>
      </c>
      <c r="N58" s="53">
        <f t="shared" si="11"/>
        <v>738642669</v>
      </c>
      <c r="O58" s="53">
        <f t="shared" si="11"/>
        <v>706801814</v>
      </c>
      <c r="P58" s="53">
        <f t="shared" si="11"/>
        <v>684025100</v>
      </c>
      <c r="Q58" s="53">
        <f t="shared" si="11"/>
        <v>649217000</v>
      </c>
      <c r="R58" s="53">
        <f t="shared" si="11"/>
        <v>606723800</v>
      </c>
      <c r="S58" s="53">
        <f t="shared" si="11"/>
        <v>556782600</v>
      </c>
    </row>
    <row r="59" spans="1:19">
      <c r="A59" t="s">
        <v>306</v>
      </c>
      <c r="B59">
        <v>36260219</v>
      </c>
      <c r="C59">
        <v>38003325</v>
      </c>
      <c r="D59">
        <v>36192357</v>
      </c>
      <c r="E59">
        <v>37885663</v>
      </c>
      <c r="F59">
        <v>36192126</v>
      </c>
      <c r="G59" s="29">
        <v>34176837</v>
      </c>
      <c r="H59" s="29">
        <v>29232693</v>
      </c>
      <c r="I59" s="29">
        <v>29488595</v>
      </c>
      <c r="J59">
        <v>28669883</v>
      </c>
      <c r="K59">
        <v>26503960</v>
      </c>
      <c r="L59">
        <v>23388214</v>
      </c>
      <c r="M59">
        <v>21441692</v>
      </c>
      <c r="N59">
        <v>19512999</v>
      </c>
      <c r="O59" s="29">
        <v>14649750</v>
      </c>
      <c r="P59" s="29">
        <v>629971000</v>
      </c>
      <c r="Q59" s="29">
        <v>600596700</v>
      </c>
      <c r="R59" s="29">
        <v>560881600</v>
      </c>
      <c r="S59" s="29">
        <v>513979400</v>
      </c>
    </row>
    <row r="60" spans="1:19">
      <c r="A60" t="s">
        <v>307</v>
      </c>
      <c r="B60">
        <v>266511721</v>
      </c>
      <c r="C60">
        <v>253889845</v>
      </c>
      <c r="D60">
        <v>242841845</v>
      </c>
      <c r="E60">
        <v>242944078</v>
      </c>
      <c r="F60">
        <v>234513217</v>
      </c>
      <c r="G60" s="29">
        <v>225217954</v>
      </c>
      <c r="H60" s="29">
        <v>215911020</v>
      </c>
      <c r="I60" s="29">
        <v>219227151</v>
      </c>
      <c r="J60">
        <v>221395706</v>
      </c>
      <c r="K60">
        <v>214520025</v>
      </c>
      <c r="L60">
        <v>207136054</v>
      </c>
      <c r="M60">
        <v>198656900</v>
      </c>
      <c r="N60">
        <v>190075173</v>
      </c>
      <c r="O60" s="29">
        <v>167782789</v>
      </c>
      <c r="P60" s="29"/>
      <c r="Q60" s="29"/>
    </row>
    <row r="61" spans="1:19">
      <c r="A61" t="s">
        <v>308</v>
      </c>
      <c r="B61">
        <v>57853745</v>
      </c>
      <c r="C61">
        <v>55096222</v>
      </c>
      <c r="D61">
        <v>47086820</v>
      </c>
      <c r="E61">
        <v>45804880</v>
      </c>
      <c r="F61">
        <v>43800658</v>
      </c>
      <c r="G61" s="29">
        <v>41959927</v>
      </c>
      <c r="H61" s="29">
        <v>39694162</v>
      </c>
      <c r="I61" s="29">
        <v>39413216</v>
      </c>
      <c r="J61">
        <v>39471364</v>
      </c>
      <c r="K61">
        <v>37903504</v>
      </c>
      <c r="L61">
        <v>36260610</v>
      </c>
      <c r="M61">
        <v>25607560</v>
      </c>
      <c r="N61">
        <v>23760000</v>
      </c>
      <c r="O61" s="29">
        <v>23016688</v>
      </c>
      <c r="P61" s="29"/>
      <c r="Q61" s="29"/>
    </row>
    <row r="62" spans="1:19">
      <c r="A62" t="s">
        <v>309</v>
      </c>
      <c r="B62">
        <v>105124330</v>
      </c>
      <c r="C62">
        <v>99832173</v>
      </c>
      <c r="D62">
        <v>90629911</v>
      </c>
      <c r="E62">
        <v>90947166</v>
      </c>
      <c r="F62">
        <v>87365769</v>
      </c>
      <c r="G62" s="29">
        <v>84328212</v>
      </c>
      <c r="H62" s="29">
        <v>82643655</v>
      </c>
      <c r="I62" s="29">
        <v>84014518</v>
      </c>
      <c r="J62">
        <v>84737131</v>
      </c>
      <c r="K62">
        <v>81826582</v>
      </c>
      <c r="L62">
        <v>78977488</v>
      </c>
      <c r="M62">
        <v>77122811</v>
      </c>
      <c r="N62">
        <v>72799833</v>
      </c>
      <c r="O62" s="29">
        <v>71442844</v>
      </c>
      <c r="P62" s="29"/>
      <c r="Q62" s="29"/>
    </row>
    <row r="63" spans="1:19">
      <c r="A63" t="s">
        <v>310</v>
      </c>
      <c r="B63">
        <v>200330818</v>
      </c>
      <c r="C63">
        <v>189527747</v>
      </c>
      <c r="D63">
        <v>172914278</v>
      </c>
      <c r="E63">
        <v>172921253</v>
      </c>
      <c r="F63">
        <v>168378317</v>
      </c>
      <c r="G63" s="29">
        <v>163803369</v>
      </c>
      <c r="H63" s="29">
        <v>157389466</v>
      </c>
      <c r="I63" s="29">
        <v>157067967</v>
      </c>
      <c r="J63">
        <v>160516281</v>
      </c>
      <c r="K63">
        <v>156538996</v>
      </c>
      <c r="L63">
        <v>152819236</v>
      </c>
      <c r="M63">
        <v>147431432</v>
      </c>
      <c r="N63">
        <v>141094387</v>
      </c>
      <c r="O63" s="29">
        <v>134628399</v>
      </c>
      <c r="P63" s="29"/>
      <c r="Q63" s="29"/>
    </row>
    <row r="64" spans="1:19">
      <c r="A64" t="s">
        <v>311</v>
      </c>
      <c r="B64">
        <v>215748740</v>
      </c>
      <c r="C64">
        <v>207379913</v>
      </c>
      <c r="D64">
        <v>194971613</v>
      </c>
      <c r="E64">
        <v>194607286</v>
      </c>
      <c r="F64">
        <v>187006006</v>
      </c>
      <c r="G64" s="29">
        <v>181723305</v>
      </c>
      <c r="H64" s="29">
        <v>176074742</v>
      </c>
      <c r="I64" s="29">
        <v>176005586</v>
      </c>
      <c r="J64">
        <v>175595227</v>
      </c>
      <c r="K64">
        <v>167807507</v>
      </c>
      <c r="L64">
        <v>162130535</v>
      </c>
      <c r="M64">
        <v>156512943</v>
      </c>
      <c r="N64">
        <v>149174750</v>
      </c>
      <c r="O64" s="29">
        <v>143983903</v>
      </c>
      <c r="P64" s="29"/>
      <c r="Q64" s="29"/>
    </row>
    <row r="65" spans="1:19">
      <c r="A65" t="s">
        <v>312</v>
      </c>
      <c r="B65">
        <v>15548349</v>
      </c>
      <c r="C65">
        <v>14763486</v>
      </c>
      <c r="D65">
        <v>12389950</v>
      </c>
      <c r="E65">
        <v>12143410</v>
      </c>
      <c r="F65">
        <v>11527336</v>
      </c>
      <c r="G65" s="29">
        <v>11249734</v>
      </c>
      <c r="H65" s="29">
        <v>10894936</v>
      </c>
      <c r="I65" s="29">
        <v>10970552</v>
      </c>
      <c r="J65">
        <v>11377678</v>
      </c>
      <c r="K65">
        <v>11027881</v>
      </c>
      <c r="L65">
        <v>10719496</v>
      </c>
      <c r="M65">
        <v>9857661</v>
      </c>
      <c r="N65">
        <v>10498985</v>
      </c>
      <c r="O65" s="29">
        <v>9786530</v>
      </c>
      <c r="P65" s="29"/>
      <c r="Q65" s="29"/>
    </row>
    <row r="66" spans="1:19">
      <c r="A66" t="s">
        <v>313</v>
      </c>
      <c r="D66">
        <v>0</v>
      </c>
      <c r="E66">
        <v>0</v>
      </c>
      <c r="F66">
        <v>0</v>
      </c>
      <c r="G66" s="29">
        <v>0</v>
      </c>
      <c r="H66" s="29">
        <v>19703</v>
      </c>
      <c r="I66" s="29">
        <v>4037</v>
      </c>
      <c r="J66">
        <v>153806</v>
      </c>
      <c r="K66">
        <v>146505</v>
      </c>
      <c r="L66">
        <v>87009</v>
      </c>
      <c r="M66">
        <v>75503</v>
      </c>
      <c r="N66">
        <v>45626</v>
      </c>
      <c r="O66" s="29">
        <v>2830</v>
      </c>
      <c r="P66" s="29"/>
      <c r="Q66" s="29"/>
    </row>
    <row r="67" spans="1:19">
      <c r="A67" t="s">
        <v>314</v>
      </c>
      <c r="B67">
        <v>253161</v>
      </c>
      <c r="C67">
        <v>237903</v>
      </c>
      <c r="D67">
        <v>222063</v>
      </c>
      <c r="E67">
        <v>212496</v>
      </c>
      <c r="F67">
        <v>240549</v>
      </c>
      <c r="G67" s="29">
        <v>229380</v>
      </c>
      <c r="H67" s="29">
        <v>208639</v>
      </c>
      <c r="I67" s="29">
        <v>230775</v>
      </c>
      <c r="J67">
        <v>234016</v>
      </c>
      <c r="K67">
        <v>337634</v>
      </c>
      <c r="L67">
        <v>240355</v>
      </c>
      <c r="M67">
        <v>9061212</v>
      </c>
      <c r="N67">
        <v>8234203</v>
      </c>
      <c r="O67" s="29">
        <v>7680840</v>
      </c>
      <c r="P67" s="29"/>
      <c r="Q67" s="29"/>
    </row>
    <row r="68" spans="1:19">
      <c r="A68" t="s">
        <v>983</v>
      </c>
      <c r="B68">
        <v>0</v>
      </c>
      <c r="C68">
        <v>0</v>
      </c>
      <c r="D68">
        <v>403426</v>
      </c>
      <c r="E68">
        <v>293162</v>
      </c>
      <c r="F68">
        <v>0</v>
      </c>
      <c r="G68" s="29"/>
      <c r="H68" s="29"/>
      <c r="I68" s="29"/>
      <c r="O68" s="29"/>
      <c r="P68" s="29"/>
      <c r="Q68" s="29"/>
    </row>
    <row r="69" spans="1:19">
      <c r="A69" t="s">
        <v>315</v>
      </c>
      <c r="B69">
        <v>6677867</v>
      </c>
      <c r="C69">
        <v>6431000</v>
      </c>
      <c r="D69">
        <v>7663308</v>
      </c>
      <c r="E69">
        <v>7284776</v>
      </c>
      <c r="F69">
        <v>6681874</v>
      </c>
      <c r="G69" s="29">
        <v>6225754</v>
      </c>
      <c r="H69" s="29">
        <v>5922560</v>
      </c>
      <c r="I69" s="29">
        <v>6143889</v>
      </c>
      <c r="J69">
        <v>6190281</v>
      </c>
      <c r="K69">
        <v>6024695</v>
      </c>
      <c r="L69">
        <v>5859012</v>
      </c>
      <c r="M69">
        <v>5197568</v>
      </c>
      <c r="N69">
        <v>4829661</v>
      </c>
      <c r="O69" s="29">
        <v>4580239</v>
      </c>
      <c r="P69" s="29"/>
      <c r="Q69" s="29"/>
    </row>
    <row r="70" spans="1:19">
      <c r="A70" t="s">
        <v>316</v>
      </c>
      <c r="B70">
        <v>12808977</v>
      </c>
      <c r="C70">
        <v>12218395</v>
      </c>
      <c r="D70">
        <v>11501888</v>
      </c>
      <c r="E70">
        <v>11300036</v>
      </c>
      <c r="F70">
        <v>10577826</v>
      </c>
      <c r="G70" s="29">
        <v>10067632</v>
      </c>
      <c r="H70" s="29">
        <v>9589398</v>
      </c>
      <c r="I70" s="29">
        <v>9596989</v>
      </c>
      <c r="J70">
        <v>9725132</v>
      </c>
      <c r="K70">
        <v>9414654</v>
      </c>
      <c r="L70">
        <v>9268571</v>
      </c>
      <c r="M70">
        <v>8718559</v>
      </c>
      <c r="N70">
        <v>8054371</v>
      </c>
      <c r="O70" s="29">
        <v>7848804</v>
      </c>
      <c r="P70" s="29"/>
      <c r="Q70" s="29"/>
    </row>
    <row r="71" spans="1:19">
      <c r="A71" t="s">
        <v>317</v>
      </c>
      <c r="D71">
        <v>0</v>
      </c>
      <c r="E71">
        <v>0</v>
      </c>
      <c r="F71">
        <v>0</v>
      </c>
      <c r="G71" s="29">
        <v>0</v>
      </c>
      <c r="H71" s="29">
        <v>0</v>
      </c>
      <c r="I71" s="29">
        <v>3994</v>
      </c>
      <c r="J71">
        <v>338239</v>
      </c>
      <c r="K71">
        <v>339763</v>
      </c>
      <c r="L71">
        <v>370487</v>
      </c>
      <c r="M71">
        <v>349422</v>
      </c>
      <c r="N71">
        <v>375760</v>
      </c>
      <c r="O71" s="29">
        <v>353107</v>
      </c>
      <c r="P71" s="29"/>
      <c r="Q71" s="29"/>
    </row>
    <row r="72" spans="1:19">
      <c r="A72" t="s">
        <v>318</v>
      </c>
      <c r="B72">
        <v>23483389</v>
      </c>
      <c r="C72">
        <v>22498097</v>
      </c>
      <c r="D72">
        <v>21823204</v>
      </c>
      <c r="E72">
        <v>21715727</v>
      </c>
      <c r="F72">
        <v>20505996</v>
      </c>
      <c r="G72" s="29">
        <v>19887458</v>
      </c>
      <c r="H72" s="29">
        <v>19365110</v>
      </c>
      <c r="I72" s="29">
        <v>20797842</v>
      </c>
      <c r="J72">
        <v>22130593</v>
      </c>
      <c r="K72">
        <v>21100604</v>
      </c>
      <c r="L72">
        <v>20558221</v>
      </c>
      <c r="M72">
        <v>19801818</v>
      </c>
      <c r="N72">
        <v>18613167</v>
      </c>
      <c r="O72" s="29">
        <v>18390744</v>
      </c>
      <c r="P72" s="29"/>
      <c r="Q72" s="29"/>
    </row>
    <row r="73" spans="1:19">
      <c r="A73" t="s">
        <v>319</v>
      </c>
      <c r="B73">
        <v>341256</v>
      </c>
      <c r="C73">
        <v>316050</v>
      </c>
      <c r="D73">
        <v>162158</v>
      </c>
      <c r="E73">
        <v>188685</v>
      </c>
      <c r="F73">
        <v>261618</v>
      </c>
      <c r="G73" s="29">
        <v>278705</v>
      </c>
      <c r="H73" s="29">
        <v>379806</v>
      </c>
      <c r="I73" s="29">
        <v>397332</v>
      </c>
      <c r="J73">
        <v>461344</v>
      </c>
      <c r="K73">
        <v>470765</v>
      </c>
      <c r="L73">
        <v>467756</v>
      </c>
      <c r="M73">
        <v>507187</v>
      </c>
      <c r="N73">
        <v>476172</v>
      </c>
      <c r="O73" s="29">
        <v>513745</v>
      </c>
      <c r="P73" s="29"/>
      <c r="Q73" s="29"/>
    </row>
    <row r="74" spans="1:19">
      <c r="A74" t="s">
        <v>320</v>
      </c>
      <c r="B74">
        <v>20954047</v>
      </c>
      <c r="C74">
        <v>19578859</v>
      </c>
      <c r="D74">
        <v>32944707</v>
      </c>
      <c r="E74">
        <v>31231696</v>
      </c>
      <c r="F74">
        <v>30036890</v>
      </c>
      <c r="G74" s="29">
        <v>26958528</v>
      </c>
      <c r="H74" s="29">
        <v>22419252</v>
      </c>
      <c r="I74" s="29">
        <v>22556565</v>
      </c>
      <c r="J74">
        <v>25959303</v>
      </c>
      <c r="K74">
        <v>26292200</v>
      </c>
      <c r="L74">
        <v>24864031</v>
      </c>
      <c r="M74">
        <v>22999764</v>
      </c>
      <c r="N74">
        <v>15864217</v>
      </c>
      <c r="O74" s="29">
        <v>13934221</v>
      </c>
      <c r="P74" s="29"/>
      <c r="Q74" s="29"/>
    </row>
    <row r="75" spans="1:19">
      <c r="A75" t="s">
        <v>321</v>
      </c>
      <c r="B75">
        <v>26268796</v>
      </c>
      <c r="C75">
        <v>25036739</v>
      </c>
      <c r="D75">
        <v>24183263</v>
      </c>
      <c r="E75">
        <v>23798347</v>
      </c>
      <c r="F75">
        <v>23168441</v>
      </c>
      <c r="G75" s="29">
        <v>22784174</v>
      </c>
      <c r="H75" s="29">
        <v>22189672</v>
      </c>
      <c r="I75" s="29">
        <v>22866198</v>
      </c>
      <c r="J75" s="43">
        <v>24339105</v>
      </c>
      <c r="K75" s="43">
        <v>23707699</v>
      </c>
      <c r="L75" s="43">
        <v>23132257</v>
      </c>
      <c r="M75" s="43">
        <v>22525909</v>
      </c>
      <c r="N75" s="43">
        <v>21598024</v>
      </c>
      <c r="O75" s="43">
        <v>20866009</v>
      </c>
      <c r="P75" s="43">
        <v>31425100</v>
      </c>
      <c r="Q75" s="43">
        <v>30158100</v>
      </c>
      <c r="R75" s="43">
        <v>28573700</v>
      </c>
      <c r="S75" s="43">
        <v>26590400</v>
      </c>
    </row>
    <row r="76" spans="1:19">
      <c r="A76" t="s">
        <v>322</v>
      </c>
      <c r="B76">
        <v>15908497</v>
      </c>
      <c r="C76">
        <v>15258459</v>
      </c>
      <c r="D76">
        <v>14918128</v>
      </c>
      <c r="E76">
        <v>14952745</v>
      </c>
      <c r="F76">
        <v>14609917</v>
      </c>
      <c r="G76" s="29">
        <v>13915308</v>
      </c>
      <c r="H76" s="29">
        <v>13443729</v>
      </c>
      <c r="I76" s="29">
        <v>13674194</v>
      </c>
      <c r="J76" s="43">
        <v>13483415</v>
      </c>
      <c r="K76" s="43">
        <v>13212357</v>
      </c>
      <c r="L76" s="43">
        <v>12756089</v>
      </c>
      <c r="M76" s="43">
        <v>12500959</v>
      </c>
      <c r="N76" s="43">
        <v>12051606</v>
      </c>
      <c r="O76" s="43">
        <v>11718517</v>
      </c>
      <c r="P76" s="43">
        <v>0</v>
      </c>
      <c r="Q76" s="43">
        <v>0</v>
      </c>
      <c r="R76" s="43">
        <v>0</v>
      </c>
      <c r="S76" s="43">
        <v>0</v>
      </c>
    </row>
    <row r="77" spans="1:19">
      <c r="A77" t="s">
        <v>323</v>
      </c>
      <c r="B77">
        <v>18471557</v>
      </c>
      <c r="C77">
        <v>17494340</v>
      </c>
      <c r="D77">
        <v>16539627</v>
      </c>
      <c r="E77">
        <v>16378647</v>
      </c>
      <c r="F77">
        <v>16141401</v>
      </c>
      <c r="G77" s="29">
        <v>16216620</v>
      </c>
      <c r="H77" s="29">
        <v>16012459</v>
      </c>
      <c r="I77" s="29">
        <v>16302237</v>
      </c>
      <c r="J77" s="43">
        <v>16450984</v>
      </c>
      <c r="K77" s="43">
        <v>15938834</v>
      </c>
      <c r="L77" s="43">
        <v>15445780</v>
      </c>
      <c r="M77" s="43">
        <v>15166328</v>
      </c>
      <c r="N77" s="43">
        <v>14290342</v>
      </c>
      <c r="O77" s="43">
        <v>13802140</v>
      </c>
      <c r="P77" s="43">
        <v>13792100</v>
      </c>
      <c r="Q77" s="43">
        <v>12709700</v>
      </c>
      <c r="R77" s="43">
        <v>12032200</v>
      </c>
      <c r="S77" s="43">
        <v>11435400</v>
      </c>
    </row>
    <row r="78" spans="1:19">
      <c r="A78" t="s">
        <v>324</v>
      </c>
      <c r="B78">
        <v>1284056</v>
      </c>
      <c r="C78">
        <v>1258525</v>
      </c>
      <c r="D78">
        <v>1307443</v>
      </c>
      <c r="E78">
        <v>1200254</v>
      </c>
      <c r="F78">
        <v>1167776</v>
      </c>
      <c r="G78" s="29">
        <v>1140549</v>
      </c>
      <c r="H78" s="29">
        <v>1183500</v>
      </c>
      <c r="I78" s="29">
        <v>1293527</v>
      </c>
      <c r="J78" s="43">
        <v>1196972</v>
      </c>
      <c r="K78" s="43">
        <v>1105905</v>
      </c>
      <c r="L78" s="43">
        <v>1040362</v>
      </c>
      <c r="M78" s="43">
        <v>962628</v>
      </c>
      <c r="N78" s="43">
        <v>926046</v>
      </c>
      <c r="O78" s="43">
        <v>870605</v>
      </c>
      <c r="P78" s="43">
        <v>931300</v>
      </c>
      <c r="Q78" s="43">
        <v>815400</v>
      </c>
      <c r="R78" s="43">
        <v>766700</v>
      </c>
      <c r="S78" s="43">
        <v>670500</v>
      </c>
    </row>
    <row r="79" spans="1:19">
      <c r="A79" t="s">
        <v>325</v>
      </c>
      <c r="B79">
        <v>19464936</v>
      </c>
      <c r="C79">
        <v>12167453</v>
      </c>
      <c r="D79">
        <v>0</v>
      </c>
      <c r="E79">
        <v>0</v>
      </c>
      <c r="F79">
        <v>0</v>
      </c>
      <c r="G79" s="29">
        <v>0</v>
      </c>
      <c r="H79" s="29">
        <v>0</v>
      </c>
      <c r="I79" s="29">
        <v>0</v>
      </c>
      <c r="J79" s="43" t="s">
        <v>4</v>
      </c>
      <c r="K79" s="43" t="s">
        <v>4</v>
      </c>
      <c r="L79" s="43" t="s">
        <v>4</v>
      </c>
      <c r="M79" s="43">
        <v>0</v>
      </c>
      <c r="N79" s="43">
        <v>0</v>
      </c>
      <c r="O79" s="43">
        <v>0</v>
      </c>
      <c r="P79" s="43">
        <v>2959100</v>
      </c>
      <c r="Q79" s="43">
        <v>0</v>
      </c>
      <c r="R79" s="43">
        <v>0</v>
      </c>
      <c r="S79" s="43">
        <v>0</v>
      </c>
    </row>
    <row r="80" spans="1:19">
      <c r="A80" s="24" t="s">
        <v>644</v>
      </c>
      <c r="B80" s="52">
        <v>6826391</v>
      </c>
      <c r="C80" s="52">
        <v>6707354</v>
      </c>
      <c r="D80" s="43">
        <v>6314287</v>
      </c>
      <c r="E80" s="43">
        <v>6289514</v>
      </c>
      <c r="F80" s="43">
        <v>6183232</v>
      </c>
      <c r="G80" s="29">
        <v>6289347</v>
      </c>
      <c r="H80" s="29">
        <v>6127463</v>
      </c>
      <c r="I80" s="29">
        <v>6318369</v>
      </c>
      <c r="J80" s="43">
        <v>6573128</v>
      </c>
      <c r="K80" s="43">
        <v>6097978</v>
      </c>
      <c r="L80" s="43">
        <v>6042099</v>
      </c>
      <c r="M80" s="43">
        <v>5781410</v>
      </c>
      <c r="N80" s="43">
        <v>5607022</v>
      </c>
      <c r="O80" s="43">
        <v>5254866</v>
      </c>
      <c r="P80" s="43">
        <v>4946500</v>
      </c>
      <c r="Q80" s="43">
        <v>4937100</v>
      </c>
      <c r="R80" s="43">
        <v>4469600</v>
      </c>
      <c r="S80" s="43">
        <v>4106900</v>
      </c>
    </row>
    <row r="81" spans="1:19">
      <c r="A81" t="s">
        <v>326</v>
      </c>
      <c r="B81">
        <v>5310340</v>
      </c>
      <c r="C81">
        <v>4920693</v>
      </c>
      <c r="D81">
        <v>4542096</v>
      </c>
      <c r="E81">
        <v>4698587</v>
      </c>
      <c r="F81">
        <v>4544049</v>
      </c>
      <c r="G81" s="29">
        <v>4346407</v>
      </c>
      <c r="H81" s="29">
        <v>4329131</v>
      </c>
      <c r="I81" s="29">
        <v>4735277</v>
      </c>
      <c r="J81" s="43">
        <v>4643475</v>
      </c>
      <c r="K81" s="43">
        <v>4367897</v>
      </c>
      <c r="L81" s="43">
        <v>4201301</v>
      </c>
      <c r="M81" s="43">
        <v>3854988</v>
      </c>
      <c r="N81" s="43">
        <v>3516018</v>
      </c>
      <c r="O81" s="43">
        <v>3372949</v>
      </c>
      <c r="P81" s="43">
        <v>0</v>
      </c>
      <c r="Q81" s="43">
        <v>0</v>
      </c>
      <c r="R81" s="43">
        <v>0</v>
      </c>
      <c r="S81" s="43">
        <v>0</v>
      </c>
    </row>
    <row r="82" spans="1:19">
      <c r="A82" t="s">
        <v>327</v>
      </c>
      <c r="B82">
        <v>13090815</v>
      </c>
      <c r="C82">
        <v>12722760</v>
      </c>
      <c r="D82">
        <v>11605821</v>
      </c>
      <c r="E82">
        <v>12131958</v>
      </c>
      <c r="F82">
        <v>11533768</v>
      </c>
      <c r="G82" s="29">
        <v>12221344</v>
      </c>
      <c r="H82" s="29">
        <v>12100867</v>
      </c>
      <c r="I82" s="29">
        <v>13839852</v>
      </c>
      <c r="J82" s="43">
        <v>14304803</v>
      </c>
      <c r="K82" s="43">
        <v>13994113</v>
      </c>
      <c r="L82" s="43">
        <v>13296842</v>
      </c>
      <c r="M82" s="43">
        <v>12273405</v>
      </c>
      <c r="N82" s="43">
        <v>11219818</v>
      </c>
      <c r="O82" s="43">
        <v>10488946</v>
      </c>
      <c r="P82" s="43">
        <v>0</v>
      </c>
      <c r="Q82" s="43">
        <v>0</v>
      </c>
      <c r="R82" s="43">
        <v>0</v>
      </c>
      <c r="S82" s="43">
        <v>0</v>
      </c>
    </row>
    <row r="83" spans="1:19">
      <c r="A83" t="s">
        <v>328</v>
      </c>
      <c r="B83">
        <v>8188185</v>
      </c>
      <c r="C83">
        <v>7776886</v>
      </c>
      <c r="D83">
        <v>6772446</v>
      </c>
      <c r="E83">
        <v>6442002</v>
      </c>
      <c r="F83">
        <v>6107187</v>
      </c>
      <c r="G83" s="29">
        <v>6391201</v>
      </c>
      <c r="H83" s="29">
        <v>6073638</v>
      </c>
      <c r="I83" s="29">
        <v>6035065</v>
      </c>
      <c r="J83" s="43">
        <v>6117534</v>
      </c>
      <c r="K83" s="43">
        <v>5546770</v>
      </c>
      <c r="L83" s="43">
        <v>4955112</v>
      </c>
      <c r="M83" s="43">
        <v>4688348</v>
      </c>
      <c r="N83" s="43">
        <v>4457829</v>
      </c>
      <c r="O83" s="43">
        <v>20340190</v>
      </c>
      <c r="P83" s="43">
        <v>0</v>
      </c>
      <c r="Q83" s="43">
        <v>0</v>
      </c>
      <c r="R83" s="43">
        <v>0</v>
      </c>
      <c r="S83" s="43">
        <v>0</v>
      </c>
    </row>
    <row r="84" spans="1:19">
      <c r="A84" t="s">
        <v>329</v>
      </c>
      <c r="B84">
        <v>304040</v>
      </c>
      <c r="C84">
        <v>304640</v>
      </c>
      <c r="D84">
        <v>279723</v>
      </c>
      <c r="E84">
        <v>270193</v>
      </c>
      <c r="F84">
        <v>255460</v>
      </c>
      <c r="G84" s="29">
        <v>224063</v>
      </c>
      <c r="H84" s="29">
        <v>292086</v>
      </c>
      <c r="I84" s="29">
        <v>345213</v>
      </c>
      <c r="J84" s="43">
        <v>425653</v>
      </c>
      <c r="K84" s="43">
        <v>452966</v>
      </c>
      <c r="L84" s="43">
        <v>407074</v>
      </c>
      <c r="M84" s="43">
        <v>386139</v>
      </c>
      <c r="N84" s="43">
        <v>397985</v>
      </c>
      <c r="O84" s="43">
        <v>369351</v>
      </c>
      <c r="P84" s="43">
        <v>0</v>
      </c>
      <c r="Q84" s="43">
        <v>0</v>
      </c>
      <c r="R84" s="43">
        <v>0</v>
      </c>
      <c r="S84" s="43">
        <v>0</v>
      </c>
    </row>
    <row r="85" spans="1:19">
      <c r="A85" t="s">
        <v>330</v>
      </c>
      <c r="B85">
        <v>1379792</v>
      </c>
      <c r="C85">
        <v>1337541</v>
      </c>
      <c r="D85">
        <v>1306354</v>
      </c>
      <c r="E85">
        <v>1290679</v>
      </c>
      <c r="F85">
        <v>1284438</v>
      </c>
      <c r="G85" s="29">
        <v>1298045</v>
      </c>
      <c r="H85" s="29">
        <v>1366922</v>
      </c>
      <c r="I85" s="29">
        <v>1446276</v>
      </c>
      <c r="J85" s="43">
        <v>1441549</v>
      </c>
      <c r="K85" s="43">
        <v>1328239</v>
      </c>
      <c r="L85" s="43">
        <v>1351130</v>
      </c>
      <c r="M85" s="43">
        <v>1327294</v>
      </c>
      <c r="N85" s="43">
        <v>1168675</v>
      </c>
      <c r="O85" s="43">
        <v>1122808</v>
      </c>
      <c r="P85" s="43">
        <v>0</v>
      </c>
      <c r="Q85" s="43">
        <v>0</v>
      </c>
      <c r="R85" s="43">
        <v>0</v>
      </c>
      <c r="S85" s="43">
        <v>0</v>
      </c>
    </row>
    <row r="86" spans="1:19">
      <c r="E86" s="29"/>
      <c r="F86" s="29"/>
      <c r="G86" s="29"/>
      <c r="H86" s="29"/>
      <c r="J86" s="43"/>
      <c r="K86" s="43"/>
      <c r="L86" s="43"/>
      <c r="M86" s="43"/>
      <c r="N86" s="43"/>
      <c r="O86" s="43"/>
      <c r="P86" s="43"/>
      <c r="Q86" s="43"/>
      <c r="R86" s="43"/>
      <c r="S86" s="43"/>
    </row>
    <row r="87" spans="1:19">
      <c r="A87" s="23" t="s">
        <v>331</v>
      </c>
      <c r="B87" s="53">
        <f t="shared" ref="B87:I87" si="12">SUBTOTAL(9,B88:B93)</f>
        <v>79910527</v>
      </c>
      <c r="C87" s="53">
        <f t="shared" si="12"/>
        <v>76974317</v>
      </c>
      <c r="D87" s="53">
        <f t="shared" si="12"/>
        <v>70068627</v>
      </c>
      <c r="E87" s="53">
        <f t="shared" si="12"/>
        <v>70040487</v>
      </c>
      <c r="F87" s="53">
        <f t="shared" si="12"/>
        <v>67213876</v>
      </c>
      <c r="G87" s="53">
        <f t="shared" si="12"/>
        <v>64888212</v>
      </c>
      <c r="H87" s="53">
        <f t="shared" si="12"/>
        <v>60563595</v>
      </c>
      <c r="I87" s="53">
        <f t="shared" si="12"/>
        <v>60095861</v>
      </c>
      <c r="J87" s="53">
        <f t="shared" ref="J87" si="13">SUBTOTAL(9,J88:J93)</f>
        <v>58226092</v>
      </c>
      <c r="K87" s="53">
        <f t="shared" ref="K87" si="14">SUBTOTAL(9,K88:K93)</f>
        <v>56235754</v>
      </c>
      <c r="L87" s="53">
        <f t="shared" ref="L87" si="15">SUBTOTAL(9,L88:L93)</f>
        <v>52104500</v>
      </c>
      <c r="M87" s="53">
        <f t="shared" ref="M87" si="16">SUBTOTAL(9,M88:M93)</f>
        <v>48830408</v>
      </c>
      <c r="N87" s="53">
        <f t="shared" ref="N87" si="17">SUBTOTAL(9,N88:N93)</f>
        <v>44785404</v>
      </c>
      <c r="O87" s="53">
        <f t="shared" ref="O87" si="18">SUBTOTAL(9,O88:O93)</f>
        <v>39988997</v>
      </c>
      <c r="P87" s="53">
        <f t="shared" ref="P87" si="19">SUBTOTAL(9,P88:P93)</f>
        <v>44903300</v>
      </c>
      <c r="Q87" s="53">
        <f t="shared" ref="Q87" si="20">SUBTOTAL(9,Q88:Q93)</f>
        <v>40502000</v>
      </c>
      <c r="R87" s="53">
        <f t="shared" ref="R87" si="21">SUBTOTAL(9,R88:R93)</f>
        <v>37504500</v>
      </c>
      <c r="S87" s="53">
        <f t="shared" ref="S87" si="22">SUBTOTAL(9,S88:S93)</f>
        <v>33362600</v>
      </c>
    </row>
    <row r="88" spans="1:19">
      <c r="A88" t="s">
        <v>332</v>
      </c>
      <c r="B88">
        <v>16702116</v>
      </c>
      <c r="C88">
        <v>17281166</v>
      </c>
      <c r="D88">
        <v>16313998</v>
      </c>
      <c r="E88">
        <v>16954339</v>
      </c>
      <c r="F88">
        <v>16219248</v>
      </c>
      <c r="G88" s="29">
        <v>15379215</v>
      </c>
      <c r="H88" s="29">
        <v>13148643</v>
      </c>
      <c r="I88" s="29">
        <v>13100433</v>
      </c>
      <c r="J88">
        <v>12765169</v>
      </c>
      <c r="K88">
        <v>11554530</v>
      </c>
      <c r="L88">
        <v>10232034</v>
      </c>
      <c r="M88">
        <v>9377227</v>
      </c>
      <c r="N88">
        <v>8557804</v>
      </c>
      <c r="O88">
        <v>7453684</v>
      </c>
      <c r="P88">
        <v>0</v>
      </c>
      <c r="Q88">
        <v>0</v>
      </c>
      <c r="R88">
        <v>0</v>
      </c>
      <c r="S88">
        <v>0</v>
      </c>
    </row>
    <row r="89" spans="1:19">
      <c r="A89" t="s">
        <v>333</v>
      </c>
      <c r="B89">
        <v>8043492</v>
      </c>
      <c r="C89">
        <v>7885753</v>
      </c>
      <c r="D89">
        <v>6592868</v>
      </c>
      <c r="E89">
        <v>7440423</v>
      </c>
      <c r="F89">
        <v>7734882</v>
      </c>
      <c r="G89" s="29">
        <v>7721776</v>
      </c>
      <c r="H89" s="29">
        <v>7882027</v>
      </c>
      <c r="I89" s="29">
        <v>7796883</v>
      </c>
      <c r="J89">
        <v>7885799</v>
      </c>
      <c r="K89">
        <v>8428935</v>
      </c>
      <c r="L89">
        <v>8419292</v>
      </c>
      <c r="M89">
        <v>8201065</v>
      </c>
      <c r="N89">
        <v>7431317</v>
      </c>
      <c r="O89">
        <v>7415174</v>
      </c>
      <c r="P89">
        <v>14509300</v>
      </c>
      <c r="Q89">
        <v>13335200</v>
      </c>
      <c r="R89">
        <v>13000200</v>
      </c>
      <c r="S89">
        <v>12177000</v>
      </c>
    </row>
    <row r="90" spans="1:19">
      <c r="A90" t="s">
        <v>334</v>
      </c>
      <c r="B90">
        <v>52474367</v>
      </c>
      <c r="C90">
        <v>50102423</v>
      </c>
      <c r="D90">
        <v>46471147</v>
      </c>
      <c r="E90">
        <v>44973036</v>
      </c>
      <c r="F90">
        <v>42675292</v>
      </c>
      <c r="G90" s="29">
        <v>41282171</v>
      </c>
      <c r="H90" s="29">
        <v>38990235</v>
      </c>
      <c r="I90" s="29">
        <v>38544760</v>
      </c>
      <c r="J90">
        <v>36863408</v>
      </c>
      <c r="K90">
        <v>35155439</v>
      </c>
      <c r="L90">
        <v>32513575</v>
      </c>
      <c r="M90">
        <v>30365375</v>
      </c>
      <c r="N90">
        <v>27960168</v>
      </c>
      <c r="O90">
        <v>24237443</v>
      </c>
      <c r="P90">
        <v>30024100</v>
      </c>
      <c r="Q90">
        <v>27166800</v>
      </c>
      <c r="R90">
        <v>24504300</v>
      </c>
      <c r="S90">
        <v>21185600</v>
      </c>
    </row>
    <row r="91" spans="1:19">
      <c r="A91" t="s">
        <v>335</v>
      </c>
      <c r="B91">
        <v>305849</v>
      </c>
      <c r="C91">
        <v>297231</v>
      </c>
      <c r="D91">
        <v>240607</v>
      </c>
      <c r="E91">
        <v>255453</v>
      </c>
      <c r="F91">
        <v>287741</v>
      </c>
      <c r="G91" s="29">
        <v>238836</v>
      </c>
      <c r="H91" s="29">
        <v>227741</v>
      </c>
      <c r="I91" s="29">
        <v>246775</v>
      </c>
      <c r="J91">
        <v>262997</v>
      </c>
      <c r="K91">
        <v>190246</v>
      </c>
      <c r="L91">
        <v>11494</v>
      </c>
      <c r="M91">
        <v>0</v>
      </c>
      <c r="N91">
        <v>0</v>
      </c>
      <c r="O91">
        <v>0</v>
      </c>
      <c r="P91">
        <v>0</v>
      </c>
      <c r="Q91">
        <v>0</v>
      </c>
      <c r="R91">
        <v>0</v>
      </c>
      <c r="S91">
        <v>0</v>
      </c>
    </row>
    <row r="92" spans="1:19">
      <c r="A92" t="s">
        <v>336</v>
      </c>
      <c r="B92">
        <v>388349</v>
      </c>
      <c r="C92">
        <v>388772</v>
      </c>
      <c r="D92">
        <v>450007</v>
      </c>
      <c r="E92">
        <v>417236</v>
      </c>
      <c r="F92">
        <v>296713</v>
      </c>
      <c r="G92" s="29">
        <v>266214</v>
      </c>
      <c r="H92" s="29">
        <v>314949</v>
      </c>
      <c r="I92" s="29">
        <v>407010</v>
      </c>
      <c r="J92">
        <v>448719</v>
      </c>
      <c r="K92">
        <v>906604</v>
      </c>
      <c r="L92">
        <v>928105</v>
      </c>
      <c r="M92">
        <v>886741</v>
      </c>
      <c r="N92">
        <v>836115</v>
      </c>
      <c r="O92">
        <v>882696</v>
      </c>
      <c r="P92">
        <v>0</v>
      </c>
      <c r="Q92">
        <v>0</v>
      </c>
      <c r="R92">
        <v>0</v>
      </c>
      <c r="S92">
        <v>0</v>
      </c>
    </row>
    <row r="93" spans="1:19">
      <c r="A93" t="s">
        <v>337</v>
      </c>
      <c r="B93">
        <v>1996354</v>
      </c>
      <c r="C93">
        <v>1018972</v>
      </c>
      <c r="D93">
        <v>0</v>
      </c>
      <c r="E93">
        <v>0</v>
      </c>
      <c r="F93">
        <v>0</v>
      </c>
      <c r="G93" s="29">
        <v>0</v>
      </c>
      <c r="H93" s="29">
        <v>0</v>
      </c>
      <c r="I93" s="29">
        <v>0</v>
      </c>
      <c r="J93" t="s">
        <v>4</v>
      </c>
      <c r="K93" t="s">
        <v>4</v>
      </c>
      <c r="L93" t="s">
        <v>4</v>
      </c>
      <c r="M93">
        <v>0</v>
      </c>
      <c r="N93">
        <v>0</v>
      </c>
      <c r="O93">
        <v>0</v>
      </c>
      <c r="P93">
        <v>369900</v>
      </c>
      <c r="Q93">
        <v>0</v>
      </c>
      <c r="R93">
        <v>0</v>
      </c>
      <c r="S93">
        <v>0</v>
      </c>
    </row>
    <row r="94" spans="1:19">
      <c r="E94" s="29"/>
      <c r="F94" s="29"/>
      <c r="G94" s="29"/>
      <c r="H94" s="29"/>
      <c r="J94" s="47"/>
      <c r="K94" s="47"/>
      <c r="L94" s="47"/>
      <c r="M94" s="47"/>
      <c r="N94" s="47"/>
      <c r="O94" s="47"/>
      <c r="P94" s="47"/>
      <c r="Q94" s="47"/>
      <c r="R94" s="47"/>
      <c r="S94" s="47"/>
    </row>
    <row r="95" spans="1:19">
      <c r="A95" s="23" t="s">
        <v>338</v>
      </c>
      <c r="B95" s="53">
        <f t="shared" ref="B95:S95" si="23">SUBTOTAL(9,B96:B97)</f>
        <v>12464995</v>
      </c>
      <c r="C95" s="53">
        <f t="shared" si="23"/>
        <v>11316839</v>
      </c>
      <c r="D95" s="53">
        <f t="shared" si="23"/>
        <v>11637093</v>
      </c>
      <c r="E95" s="53">
        <f t="shared" si="23"/>
        <v>11163478</v>
      </c>
      <c r="F95" s="53">
        <f t="shared" si="23"/>
        <v>10382519</v>
      </c>
      <c r="G95" s="53">
        <f t="shared" si="23"/>
        <v>9847193</v>
      </c>
      <c r="H95" s="53">
        <f t="shared" si="23"/>
        <v>9480890</v>
      </c>
      <c r="I95" s="53">
        <f t="shared" si="23"/>
        <v>9840171</v>
      </c>
      <c r="J95" s="53">
        <f t="shared" si="23"/>
        <v>9080031</v>
      </c>
      <c r="K95" s="53">
        <f t="shared" si="23"/>
        <v>8435750</v>
      </c>
      <c r="L95" s="53">
        <f t="shared" si="23"/>
        <v>8097709</v>
      </c>
      <c r="M95" s="53">
        <f t="shared" si="23"/>
        <v>7833042</v>
      </c>
      <c r="N95" s="53">
        <f t="shared" si="23"/>
        <v>7451402</v>
      </c>
      <c r="O95" s="53">
        <f t="shared" si="23"/>
        <v>7551430</v>
      </c>
      <c r="P95" s="53">
        <f t="shared" si="23"/>
        <v>0</v>
      </c>
      <c r="Q95" s="53">
        <f t="shared" si="23"/>
        <v>0</v>
      </c>
      <c r="R95" s="53">
        <f t="shared" si="23"/>
        <v>0</v>
      </c>
      <c r="S95" s="53">
        <f t="shared" si="23"/>
        <v>0</v>
      </c>
    </row>
    <row r="96" spans="1:19">
      <c r="A96" t="s">
        <v>339</v>
      </c>
      <c r="B96">
        <v>8718692</v>
      </c>
      <c r="C96">
        <v>7861483</v>
      </c>
      <c r="D96">
        <v>8429852</v>
      </c>
      <c r="E96">
        <v>7868038</v>
      </c>
      <c r="F96">
        <v>7350630</v>
      </c>
      <c r="G96" s="29">
        <v>6793395</v>
      </c>
      <c r="H96" s="29">
        <v>6584217</v>
      </c>
      <c r="I96" s="29">
        <v>6969421</v>
      </c>
      <c r="J96">
        <v>6612102</v>
      </c>
      <c r="K96">
        <v>5960870</v>
      </c>
      <c r="L96">
        <v>5814241</v>
      </c>
      <c r="M96">
        <v>5758884</v>
      </c>
      <c r="N96">
        <v>5534410</v>
      </c>
      <c r="O96">
        <v>5670790</v>
      </c>
      <c r="P96">
        <v>0</v>
      </c>
      <c r="Q96">
        <v>0</v>
      </c>
      <c r="R96">
        <v>0</v>
      </c>
      <c r="S96">
        <v>0</v>
      </c>
    </row>
    <row r="97" spans="1:19">
      <c r="A97" t="s">
        <v>340</v>
      </c>
      <c r="B97">
        <v>3746303</v>
      </c>
      <c r="C97">
        <v>3455356</v>
      </c>
      <c r="D97">
        <v>3207241</v>
      </c>
      <c r="E97">
        <v>3295440</v>
      </c>
      <c r="F97">
        <v>3031889</v>
      </c>
      <c r="G97" s="29">
        <v>3053798</v>
      </c>
      <c r="H97" s="29">
        <v>2896673</v>
      </c>
      <c r="I97" s="29">
        <v>2870750</v>
      </c>
      <c r="J97">
        <v>2467929</v>
      </c>
      <c r="K97">
        <v>2474880</v>
      </c>
      <c r="L97">
        <v>2283468</v>
      </c>
      <c r="M97">
        <v>2074158</v>
      </c>
      <c r="N97">
        <v>1916992</v>
      </c>
      <c r="O97">
        <v>1880640</v>
      </c>
      <c r="P97">
        <v>0</v>
      </c>
      <c r="Q97">
        <v>0</v>
      </c>
      <c r="R97">
        <v>0</v>
      </c>
      <c r="S97">
        <v>0</v>
      </c>
    </row>
    <row r="98" spans="1:19">
      <c r="E98" s="29"/>
      <c r="F98" s="29"/>
      <c r="G98" s="29"/>
      <c r="H98" s="29"/>
      <c r="K98" s="47"/>
      <c r="L98" s="47"/>
      <c r="M98" s="47"/>
      <c r="N98" s="47"/>
      <c r="O98" s="47"/>
      <c r="P98" s="47"/>
      <c r="Q98" s="47"/>
      <c r="R98" s="47"/>
      <c r="S98" s="47"/>
    </row>
    <row r="99" spans="1:19">
      <c r="A99" s="23" t="s">
        <v>341</v>
      </c>
      <c r="B99" s="53">
        <f t="shared" ref="B99:S99" si="24">SUBTOTAL(9,B100:B105)</f>
        <v>57842524</v>
      </c>
      <c r="C99" s="53">
        <f t="shared" si="24"/>
        <v>56562651</v>
      </c>
      <c r="D99" s="53">
        <f t="shared" si="24"/>
        <v>53902672</v>
      </c>
      <c r="E99" s="53">
        <f t="shared" si="24"/>
        <v>55290258</v>
      </c>
      <c r="F99" s="53">
        <f t="shared" si="24"/>
        <v>54096635</v>
      </c>
      <c r="G99" s="53">
        <f t="shared" si="24"/>
        <v>51825208</v>
      </c>
      <c r="H99" s="53">
        <f t="shared" si="24"/>
        <v>50691038</v>
      </c>
      <c r="I99" s="53">
        <f t="shared" si="24"/>
        <v>52728064</v>
      </c>
      <c r="J99" s="53">
        <f t="shared" si="24"/>
        <v>56535952</v>
      </c>
      <c r="K99" s="53">
        <f t="shared" si="24"/>
        <v>55289175</v>
      </c>
      <c r="L99" s="53">
        <f t="shared" si="24"/>
        <v>53073488</v>
      </c>
      <c r="M99" s="53">
        <f t="shared" si="24"/>
        <v>51096425</v>
      </c>
      <c r="N99" s="53">
        <f t="shared" si="24"/>
        <v>48951907</v>
      </c>
      <c r="O99" s="53">
        <f t="shared" si="24"/>
        <v>46574185</v>
      </c>
      <c r="P99" s="53">
        <f t="shared" si="24"/>
        <v>47047800</v>
      </c>
      <c r="Q99" s="53">
        <f t="shared" si="24"/>
        <v>43281300</v>
      </c>
      <c r="R99" s="53">
        <f t="shared" si="24"/>
        <v>40312200</v>
      </c>
      <c r="S99" s="53">
        <f t="shared" si="24"/>
        <v>37483900</v>
      </c>
    </row>
    <row r="100" spans="1:19">
      <c r="A100" t="s">
        <v>342</v>
      </c>
      <c r="B100">
        <v>27592072</v>
      </c>
      <c r="C100">
        <v>26991686</v>
      </c>
      <c r="D100">
        <v>24667126</v>
      </c>
      <c r="E100">
        <v>24932022</v>
      </c>
      <c r="F100">
        <v>24368744</v>
      </c>
      <c r="G100" s="29">
        <v>23237610</v>
      </c>
      <c r="H100" s="29">
        <v>22349137</v>
      </c>
      <c r="I100" s="29">
        <v>22213005</v>
      </c>
      <c r="J100">
        <v>22898195</v>
      </c>
      <c r="K100">
        <v>22215065</v>
      </c>
      <c r="L100">
        <v>21286506</v>
      </c>
      <c r="M100">
        <v>20384187</v>
      </c>
      <c r="N100">
        <v>19313593</v>
      </c>
      <c r="O100">
        <v>18560845</v>
      </c>
      <c r="P100" s="43">
        <v>23212646.10335844</v>
      </c>
      <c r="Q100" s="43">
        <v>21508783.929953828</v>
      </c>
      <c r="R100" s="43">
        <v>20916065.400915701</v>
      </c>
      <c r="S100" s="43">
        <v>19694532.462203935</v>
      </c>
    </row>
    <row r="101" spans="1:19">
      <c r="A101" t="s">
        <v>343</v>
      </c>
      <c r="B101">
        <v>4076349</v>
      </c>
      <c r="C101">
        <v>3959056</v>
      </c>
      <c r="D101">
        <v>4060857</v>
      </c>
      <c r="E101">
        <v>4097430</v>
      </c>
      <c r="F101">
        <v>3958698</v>
      </c>
      <c r="G101" s="29">
        <v>3727619</v>
      </c>
      <c r="H101" s="29">
        <v>3588739</v>
      </c>
      <c r="I101" s="29">
        <v>3750798</v>
      </c>
      <c r="J101">
        <v>4562280</v>
      </c>
      <c r="K101">
        <v>4489263</v>
      </c>
      <c r="L101">
        <v>4389221</v>
      </c>
      <c r="M101">
        <v>4175579</v>
      </c>
      <c r="N101">
        <v>3964696</v>
      </c>
      <c r="O101">
        <v>3758581</v>
      </c>
      <c r="P101" s="43">
        <v>3099891.6377592152</v>
      </c>
      <c r="Q101" s="43">
        <v>2872352.3869683705</v>
      </c>
      <c r="R101" s="43">
        <v>2793198.8426663103</v>
      </c>
      <c r="S101" s="43">
        <v>2630071.3937275102</v>
      </c>
    </row>
    <row r="102" spans="1:19">
      <c r="A102" t="s">
        <v>344</v>
      </c>
      <c r="B102">
        <v>12323928</v>
      </c>
      <c r="C102">
        <v>11846785</v>
      </c>
      <c r="D102">
        <v>11846480</v>
      </c>
      <c r="E102">
        <v>12001657</v>
      </c>
      <c r="F102" s="43">
        <v>11759016</v>
      </c>
      <c r="G102" s="29">
        <v>11238294</v>
      </c>
      <c r="H102" s="29">
        <v>10901080</v>
      </c>
      <c r="I102" s="29">
        <v>11625285</v>
      </c>
      <c r="J102">
        <v>12587747</v>
      </c>
      <c r="K102">
        <v>12149324</v>
      </c>
      <c r="L102">
        <v>11635090</v>
      </c>
      <c r="M102">
        <v>10963227</v>
      </c>
      <c r="N102">
        <v>10239535</v>
      </c>
      <c r="O102">
        <v>9420933</v>
      </c>
      <c r="P102" s="43">
        <v>9397093.8204594851</v>
      </c>
      <c r="Q102" s="43">
        <v>8707325.2938847132</v>
      </c>
      <c r="R102" s="43">
        <v>8467377.1379659381</v>
      </c>
      <c r="S102" s="43">
        <v>7972868.2578174025</v>
      </c>
    </row>
    <row r="103" spans="1:19">
      <c r="A103" t="s">
        <v>345</v>
      </c>
      <c r="B103">
        <v>1629184</v>
      </c>
      <c r="C103">
        <v>1577923</v>
      </c>
      <c r="D103">
        <v>1475254</v>
      </c>
      <c r="E103">
        <v>1613258</v>
      </c>
      <c r="F103" s="43">
        <v>1538751</v>
      </c>
      <c r="G103" s="29">
        <v>1532528</v>
      </c>
      <c r="H103" s="29">
        <v>1486771</v>
      </c>
      <c r="I103" s="29">
        <v>1690703</v>
      </c>
      <c r="J103">
        <v>1741696</v>
      </c>
      <c r="K103">
        <v>1744637</v>
      </c>
      <c r="L103">
        <v>1779065</v>
      </c>
      <c r="M103">
        <v>1694178</v>
      </c>
      <c r="N103">
        <v>1658724</v>
      </c>
      <c r="O103">
        <v>1622993</v>
      </c>
      <c r="P103" s="43">
        <v>1326877.8218358574</v>
      </c>
      <c r="Q103" s="43">
        <v>1229481.9058644972</v>
      </c>
      <c r="R103" s="43">
        <v>1195601.017521566</v>
      </c>
      <c r="S103" s="43">
        <v>1125775.9334789452</v>
      </c>
    </row>
    <row r="104" spans="1:19">
      <c r="A104" t="s">
        <v>346</v>
      </c>
      <c r="B104">
        <v>8224146</v>
      </c>
      <c r="C104">
        <v>8323048</v>
      </c>
      <c r="D104">
        <v>8193938</v>
      </c>
      <c r="E104">
        <v>8780275</v>
      </c>
      <c r="F104" s="43">
        <v>8535894</v>
      </c>
      <c r="G104" s="29">
        <v>8616556</v>
      </c>
      <c r="H104" s="29">
        <v>9094241</v>
      </c>
      <c r="I104" s="29">
        <v>10001155</v>
      </c>
      <c r="J104" s="43">
        <v>10956254</v>
      </c>
      <c r="K104" s="43">
        <v>11012689</v>
      </c>
      <c r="L104" s="43">
        <v>10598654</v>
      </c>
      <c r="M104" s="43">
        <v>10922460</v>
      </c>
      <c r="N104" s="43">
        <v>10910360</v>
      </c>
      <c r="O104" s="43">
        <v>10469002</v>
      </c>
      <c r="P104" s="43">
        <v>7143290.616587</v>
      </c>
      <c r="Q104" s="43">
        <v>6618956.4833285883</v>
      </c>
      <c r="R104" s="43">
        <v>6436557.6009304831</v>
      </c>
      <c r="S104" s="43">
        <v>6060651.9527722048</v>
      </c>
    </row>
    <row r="105" spans="1:19">
      <c r="A105" t="s">
        <v>347</v>
      </c>
      <c r="B105">
        <v>3996845</v>
      </c>
      <c r="C105">
        <v>3864153</v>
      </c>
      <c r="D105">
        <v>3659017</v>
      </c>
      <c r="E105">
        <v>3865616</v>
      </c>
      <c r="F105" s="43">
        <v>3935532</v>
      </c>
      <c r="G105" s="29">
        <v>3472601</v>
      </c>
      <c r="H105" s="29">
        <v>3271070</v>
      </c>
      <c r="I105" s="29">
        <v>3447118</v>
      </c>
      <c r="J105" s="43">
        <v>3789780</v>
      </c>
      <c r="K105" s="43">
        <v>3678197</v>
      </c>
      <c r="L105" s="43">
        <v>3384952</v>
      </c>
      <c r="M105" s="43">
        <v>2956794</v>
      </c>
      <c r="N105" s="43">
        <v>2864999</v>
      </c>
      <c r="O105" s="43">
        <v>2741831</v>
      </c>
      <c r="P105" s="43">
        <v>2868000</v>
      </c>
      <c r="Q105" s="43">
        <v>2344400</v>
      </c>
      <c r="R105" s="43">
        <v>503400</v>
      </c>
      <c r="S105" s="43">
        <v>0</v>
      </c>
    </row>
    <row r="106" spans="1:19">
      <c r="E106" s="29"/>
      <c r="F106" s="29"/>
      <c r="G106" s="29"/>
      <c r="H106" s="29"/>
      <c r="J106" s="43"/>
      <c r="K106" s="43"/>
      <c r="L106" s="43"/>
      <c r="M106" s="43"/>
      <c r="N106" s="43"/>
      <c r="O106" s="43"/>
      <c r="P106" s="43"/>
      <c r="Q106" s="43"/>
      <c r="R106" s="43"/>
      <c r="S106" s="43"/>
    </row>
    <row r="107" spans="1:19">
      <c r="A107" s="23" t="s">
        <v>348</v>
      </c>
      <c r="B107" s="53">
        <f t="shared" ref="B107:I107" si="25">SUBTOTAL(9,B108:B109)</f>
        <v>27013940</v>
      </c>
      <c r="C107" s="53">
        <f t="shared" si="25"/>
        <v>26624470</v>
      </c>
      <c r="D107" s="53">
        <f t="shared" si="25"/>
        <v>24544298</v>
      </c>
      <c r="E107" s="53">
        <f t="shared" si="25"/>
        <v>23739535</v>
      </c>
      <c r="F107" s="53">
        <f t="shared" si="25"/>
        <v>23912483</v>
      </c>
      <c r="G107" s="53">
        <f t="shared" si="25"/>
        <v>24860205</v>
      </c>
      <c r="H107" s="53">
        <f t="shared" si="25"/>
        <v>26180272</v>
      </c>
      <c r="I107" s="53">
        <f t="shared" si="25"/>
        <v>27572503</v>
      </c>
      <c r="J107" s="53">
        <f t="shared" ref="J107" si="26">SUBTOTAL(9,J108:J109)</f>
        <v>27631055</v>
      </c>
      <c r="K107" s="53">
        <f t="shared" ref="K107" si="27">SUBTOTAL(9,K108:K109)</f>
        <v>26218929</v>
      </c>
      <c r="L107" s="53">
        <f t="shared" ref="L107" si="28">SUBTOTAL(9,L108:L109)</f>
        <v>24081639</v>
      </c>
      <c r="M107" s="53">
        <f t="shared" ref="M107" si="29">SUBTOTAL(9,M108:M109)</f>
        <v>22804823</v>
      </c>
      <c r="N107" s="53">
        <f t="shared" ref="N107" si="30">SUBTOTAL(9,N108:N109)</f>
        <v>22461551</v>
      </c>
      <c r="O107" s="53">
        <f t="shared" ref="O107" si="31">SUBTOTAL(9,O108:O109)</f>
        <v>22770262</v>
      </c>
      <c r="P107" s="53">
        <f t="shared" ref="P107" si="32">SUBTOTAL(9,P108:P109)</f>
        <v>23557800</v>
      </c>
      <c r="Q107" s="53">
        <f t="shared" ref="Q107" si="33">SUBTOTAL(9,Q108:Q109)</f>
        <v>21839700</v>
      </c>
      <c r="R107" s="53">
        <f t="shared" ref="R107" si="34">SUBTOTAL(9,R108:R109)</f>
        <v>18585300</v>
      </c>
      <c r="S107" s="53">
        <f t="shared" ref="S107" si="35">SUBTOTAL(9,S108:S109)</f>
        <v>17281400</v>
      </c>
    </row>
    <row r="108" spans="1:19">
      <c r="A108" t="s">
        <v>349</v>
      </c>
      <c r="B108">
        <v>25375885</v>
      </c>
      <c r="C108">
        <v>25058057</v>
      </c>
      <c r="D108">
        <v>22940340</v>
      </c>
      <c r="E108">
        <v>22093190</v>
      </c>
      <c r="F108" s="43">
        <v>22270173</v>
      </c>
      <c r="G108" s="29">
        <v>23000499</v>
      </c>
      <c r="H108" s="29">
        <v>24361912</v>
      </c>
      <c r="I108" s="29">
        <v>25728178</v>
      </c>
      <c r="J108" s="43">
        <v>25826806</v>
      </c>
      <c r="K108" s="43">
        <v>24475013</v>
      </c>
      <c r="L108" s="43">
        <v>22354187</v>
      </c>
      <c r="M108" s="43">
        <v>21223866</v>
      </c>
      <c r="N108" s="43">
        <v>20884937</v>
      </c>
      <c r="O108" s="43">
        <v>21262330</v>
      </c>
      <c r="P108" s="43">
        <v>22043600</v>
      </c>
      <c r="Q108" s="43">
        <v>20576900</v>
      </c>
      <c r="R108" s="43">
        <v>17398500</v>
      </c>
      <c r="S108" s="43">
        <v>16099300</v>
      </c>
    </row>
    <row r="109" spans="1:19">
      <c r="A109" t="s">
        <v>350</v>
      </c>
      <c r="B109">
        <v>1638055</v>
      </c>
      <c r="C109">
        <v>1566413</v>
      </c>
      <c r="D109">
        <v>1603958</v>
      </c>
      <c r="E109">
        <v>1646345</v>
      </c>
      <c r="F109" s="43">
        <v>1642310</v>
      </c>
      <c r="G109" s="29">
        <v>1859706</v>
      </c>
      <c r="H109" s="29">
        <v>1818360</v>
      </c>
      <c r="I109" s="29">
        <v>1844325</v>
      </c>
      <c r="J109" s="43">
        <v>1804249</v>
      </c>
      <c r="K109" s="43">
        <v>1743916</v>
      </c>
      <c r="L109" s="43">
        <v>1727452</v>
      </c>
      <c r="M109" s="43">
        <v>1580957</v>
      </c>
      <c r="N109" s="43">
        <v>1576614</v>
      </c>
      <c r="O109" s="43">
        <v>1507932</v>
      </c>
      <c r="P109" s="43">
        <v>1514200</v>
      </c>
      <c r="Q109" s="43">
        <v>1262800</v>
      </c>
      <c r="R109" s="43">
        <v>1186800</v>
      </c>
      <c r="S109" s="43">
        <v>1182100</v>
      </c>
    </row>
    <row r="110" spans="1:19">
      <c r="F110" s="43"/>
      <c r="G110" s="29"/>
      <c r="H110" s="29"/>
    </row>
    <row r="111" spans="1:19">
      <c r="A111" s="23" t="s">
        <v>351</v>
      </c>
      <c r="B111" s="53">
        <f t="shared" ref="B111:I111" si="36">SUBTOTAL(9,B112:B114)</f>
        <v>52651528</v>
      </c>
      <c r="C111" s="53">
        <f t="shared" si="36"/>
        <v>50864191</v>
      </c>
      <c r="D111" s="53">
        <f t="shared" si="36"/>
        <v>48484710</v>
      </c>
      <c r="E111" s="53">
        <f t="shared" si="36"/>
        <v>47820323</v>
      </c>
      <c r="F111" s="53">
        <f t="shared" si="36"/>
        <v>47223988</v>
      </c>
      <c r="G111" s="53">
        <f t="shared" si="36"/>
        <v>43549846</v>
      </c>
      <c r="H111" s="53">
        <f t="shared" si="36"/>
        <v>42516591</v>
      </c>
      <c r="I111" s="53">
        <f t="shared" si="36"/>
        <v>47593408</v>
      </c>
      <c r="J111" s="53">
        <f t="shared" ref="J111" si="37">SUBTOTAL(9,J112:J114)</f>
        <v>48189883</v>
      </c>
      <c r="K111" s="53">
        <f t="shared" ref="K111" si="38">SUBTOTAL(9,K112:K114)</f>
        <v>46643858</v>
      </c>
      <c r="L111" s="53">
        <f t="shared" ref="L111" si="39">SUBTOTAL(9,L112:L114)</f>
        <v>45048532</v>
      </c>
      <c r="M111" s="53">
        <f t="shared" ref="M111" si="40">SUBTOTAL(9,M112:M114)</f>
        <v>43578848</v>
      </c>
      <c r="N111" s="53">
        <f t="shared" ref="N111" si="41">SUBTOTAL(9,N112:N114)</f>
        <v>41076852</v>
      </c>
      <c r="O111" s="53">
        <f t="shared" ref="O111" si="42">SUBTOTAL(9,O112:O114)</f>
        <v>39680333</v>
      </c>
      <c r="P111" s="53">
        <f t="shared" ref="P111" si="43">SUBTOTAL(9,P112:P114)</f>
        <v>38875100</v>
      </c>
      <c r="Q111" s="53">
        <f t="shared" ref="Q111" si="44">SUBTOTAL(9,Q112:Q114)</f>
        <v>36291800</v>
      </c>
      <c r="R111" s="53">
        <f t="shared" ref="R111" si="45">SUBTOTAL(9,R112:R114)</f>
        <v>34669800</v>
      </c>
      <c r="S111" s="53">
        <f t="shared" ref="S111" si="46">SUBTOTAL(9,S112:S114)</f>
        <v>32104400</v>
      </c>
    </row>
    <row r="112" spans="1:19">
      <c r="A112" t="s">
        <v>352</v>
      </c>
      <c r="B112">
        <v>50146269</v>
      </c>
      <c r="C112">
        <v>48296993</v>
      </c>
      <c r="D112">
        <v>46391821</v>
      </c>
      <c r="E112">
        <v>46072104</v>
      </c>
      <c r="F112" s="43">
        <v>46045528</v>
      </c>
      <c r="G112" s="29">
        <v>42495584</v>
      </c>
      <c r="H112" s="29">
        <v>41516559</v>
      </c>
      <c r="I112" s="29">
        <v>46571299</v>
      </c>
      <c r="J112" s="29">
        <v>47170782</v>
      </c>
      <c r="K112" s="29">
        <v>45572983</v>
      </c>
      <c r="L112" s="29">
        <v>43975887</v>
      </c>
      <c r="M112" s="29">
        <v>42527972</v>
      </c>
      <c r="N112" s="29">
        <v>40099202</v>
      </c>
      <c r="O112" s="29">
        <v>38659661</v>
      </c>
      <c r="P112" s="29">
        <v>38875100</v>
      </c>
      <c r="Q112" s="29">
        <v>36291800</v>
      </c>
      <c r="R112" s="29">
        <v>34669800</v>
      </c>
      <c r="S112" s="29">
        <v>32104400</v>
      </c>
    </row>
    <row r="113" spans="1:19">
      <c r="A113" t="s">
        <v>353</v>
      </c>
      <c r="B113">
        <v>1337880</v>
      </c>
      <c r="C113">
        <v>1273721</v>
      </c>
      <c r="D113">
        <v>1083967</v>
      </c>
      <c r="E113">
        <v>1077877</v>
      </c>
      <c r="F113" s="43">
        <v>542704</v>
      </c>
      <c r="G113" s="29">
        <v>444558</v>
      </c>
      <c r="H113" s="29">
        <v>401504</v>
      </c>
      <c r="I113" s="29">
        <v>426755</v>
      </c>
      <c r="J113" s="29">
        <v>470773</v>
      </c>
      <c r="K113" s="29">
        <v>457698</v>
      </c>
      <c r="L113" s="29">
        <v>400917</v>
      </c>
      <c r="M113" s="29">
        <v>413819</v>
      </c>
      <c r="N113" s="29">
        <v>432034</v>
      </c>
      <c r="O113" s="29">
        <v>397424</v>
      </c>
      <c r="P113" s="29">
        <v>0</v>
      </c>
      <c r="Q113" s="29">
        <v>0</v>
      </c>
      <c r="R113" s="29">
        <v>0</v>
      </c>
      <c r="S113" s="29">
        <v>0</v>
      </c>
    </row>
    <row r="114" spans="1:19">
      <c r="A114" t="s">
        <v>354</v>
      </c>
      <c r="B114">
        <v>1167379</v>
      </c>
      <c r="C114">
        <v>1293477</v>
      </c>
      <c r="D114">
        <v>1008922</v>
      </c>
      <c r="E114">
        <v>670342</v>
      </c>
      <c r="F114" s="43">
        <v>635756</v>
      </c>
      <c r="G114" s="29">
        <v>609704</v>
      </c>
      <c r="H114" s="29">
        <v>598528</v>
      </c>
      <c r="I114" s="29">
        <v>595354</v>
      </c>
      <c r="J114" s="29">
        <v>548328</v>
      </c>
      <c r="K114" s="29">
        <v>613177</v>
      </c>
      <c r="L114" s="29">
        <v>671728</v>
      </c>
      <c r="M114" s="29">
        <v>637057</v>
      </c>
      <c r="N114" s="29">
        <v>545616</v>
      </c>
      <c r="O114" s="29">
        <v>623248</v>
      </c>
      <c r="P114" s="29">
        <v>0</v>
      </c>
      <c r="Q114" s="29">
        <v>0</v>
      </c>
      <c r="R114" s="29">
        <v>0</v>
      </c>
      <c r="S114" s="29">
        <v>0</v>
      </c>
    </row>
    <row r="115" spans="1:19">
      <c r="F115" s="43"/>
      <c r="G115" s="29"/>
      <c r="H115" s="29"/>
      <c r="I115" s="29"/>
      <c r="J115" s="29"/>
      <c r="K115" s="29"/>
      <c r="L115" s="29"/>
      <c r="M115" s="29"/>
      <c r="N115" s="29"/>
      <c r="O115" s="29"/>
      <c r="P115" s="29"/>
      <c r="Q115" s="29"/>
      <c r="R115" s="29"/>
      <c r="S115" s="29"/>
    </row>
    <row r="116" spans="1:19">
      <c r="A116" s="23" t="s">
        <v>355</v>
      </c>
      <c r="B116" s="53">
        <f t="shared" ref="B116:F116" si="47">SUBTOTAL(9,B117:B117)</f>
        <v>2106141</v>
      </c>
      <c r="C116" s="53">
        <f t="shared" si="47"/>
        <v>2124620</v>
      </c>
      <c r="D116" s="53">
        <f t="shared" si="47"/>
        <v>2023192</v>
      </c>
      <c r="E116" s="53">
        <f t="shared" si="47"/>
        <v>2041703</v>
      </c>
      <c r="F116" s="53">
        <f t="shared" si="47"/>
        <v>1933219</v>
      </c>
      <c r="G116" s="53">
        <f t="shared" ref="G116:S116" si="48">SUBTOTAL(9,G117:G117)</f>
        <v>1921171</v>
      </c>
      <c r="H116" s="53">
        <f t="shared" si="48"/>
        <v>1918816</v>
      </c>
      <c r="I116" s="53">
        <f t="shared" si="48"/>
        <v>2127217</v>
      </c>
      <c r="J116" s="53">
        <f t="shared" si="48"/>
        <v>2218490</v>
      </c>
      <c r="K116" s="53">
        <f t="shared" si="48"/>
        <v>2024705</v>
      </c>
      <c r="L116" s="53">
        <f t="shared" si="48"/>
        <v>1884378</v>
      </c>
      <c r="M116" s="53">
        <f t="shared" si="48"/>
        <v>1823782</v>
      </c>
      <c r="N116" s="53">
        <f t="shared" si="48"/>
        <v>1652067</v>
      </c>
      <c r="O116" s="53">
        <f t="shared" si="48"/>
        <v>1562825</v>
      </c>
      <c r="P116" s="53">
        <f t="shared" si="48"/>
        <v>1513400</v>
      </c>
      <c r="Q116" s="53">
        <f t="shared" si="48"/>
        <v>1719200</v>
      </c>
      <c r="R116" s="53">
        <f t="shared" si="48"/>
        <v>1996900</v>
      </c>
      <c r="S116" s="53">
        <f t="shared" si="48"/>
        <v>2112600</v>
      </c>
    </row>
    <row r="117" spans="1:19">
      <c r="A117" s="24" t="s">
        <v>645</v>
      </c>
      <c r="B117" s="24">
        <v>2106141</v>
      </c>
      <c r="C117" s="24">
        <v>2124620</v>
      </c>
      <c r="D117">
        <v>2023192</v>
      </c>
      <c r="E117">
        <v>2041703</v>
      </c>
      <c r="F117">
        <v>1933219</v>
      </c>
      <c r="G117" s="29">
        <v>1921171</v>
      </c>
      <c r="H117" s="29">
        <v>1918816</v>
      </c>
      <c r="I117" s="29">
        <v>2127217</v>
      </c>
      <c r="J117" s="29">
        <v>2218490</v>
      </c>
      <c r="K117" s="29">
        <v>2024705</v>
      </c>
      <c r="L117" s="29">
        <v>1884378</v>
      </c>
      <c r="M117" s="29">
        <v>1823782</v>
      </c>
      <c r="N117" s="29">
        <v>1652067</v>
      </c>
      <c r="O117" s="29">
        <v>1562825</v>
      </c>
      <c r="P117" s="29">
        <v>1513400</v>
      </c>
      <c r="Q117" s="29">
        <v>1719200</v>
      </c>
      <c r="R117" s="29">
        <v>1996900</v>
      </c>
      <c r="S117" s="29">
        <v>2112600</v>
      </c>
    </row>
    <row r="118" spans="1:19">
      <c r="E118" s="29"/>
      <c r="F118" s="29"/>
      <c r="G118" s="29"/>
      <c r="H118" s="29"/>
      <c r="I118" s="29"/>
      <c r="S118" s="29"/>
    </row>
    <row r="119" spans="1:19">
      <c r="A119" s="23" t="s">
        <v>356</v>
      </c>
      <c r="B119" s="53">
        <f>SUBTOTAL(9,B120:B122)</f>
        <v>-36478827</v>
      </c>
      <c r="C119" s="53">
        <f>SUBTOTAL(9,C120:C122)</f>
        <v>-35206518</v>
      </c>
      <c r="D119" s="53">
        <f>SUBTOTAL(9,D120:D122)</f>
        <v>0</v>
      </c>
      <c r="E119" s="53">
        <f>SUBTOTAL(9,E120:E122)</f>
        <v>0</v>
      </c>
      <c r="F119" s="53">
        <f>SUBTOTAL(9,F120:F122)</f>
        <v>0</v>
      </c>
      <c r="G119" s="53">
        <f t="shared" ref="G119:S119" si="49">SUBTOTAL(9,G120:G121)</f>
        <v>0</v>
      </c>
      <c r="H119" s="53">
        <f t="shared" si="49"/>
        <v>0</v>
      </c>
      <c r="I119" s="53">
        <f t="shared" si="49"/>
        <v>0</v>
      </c>
      <c r="J119" s="53">
        <f t="shared" si="49"/>
        <v>0</v>
      </c>
      <c r="K119" s="53">
        <f t="shared" si="49"/>
        <v>0</v>
      </c>
      <c r="L119" s="53">
        <f t="shared" si="49"/>
        <v>0</v>
      </c>
      <c r="M119" s="53">
        <f t="shared" si="49"/>
        <v>0</v>
      </c>
      <c r="N119" s="53">
        <f t="shared" si="49"/>
        <v>0</v>
      </c>
      <c r="O119" s="53">
        <f t="shared" si="49"/>
        <v>0</v>
      </c>
      <c r="P119" s="53">
        <f t="shared" si="49"/>
        <v>-11411000</v>
      </c>
      <c r="Q119" s="53">
        <f t="shared" si="49"/>
        <v>0</v>
      </c>
      <c r="R119" s="53">
        <f t="shared" si="49"/>
        <v>0</v>
      </c>
      <c r="S119" s="53">
        <f t="shared" si="49"/>
        <v>0</v>
      </c>
    </row>
    <row r="120" spans="1:19">
      <c r="A120" t="s">
        <v>357</v>
      </c>
      <c r="B120">
        <v>-14591531</v>
      </c>
      <c r="C120">
        <v>-14082637</v>
      </c>
      <c r="D120">
        <v>0</v>
      </c>
      <c r="E120">
        <v>0</v>
      </c>
      <c r="F120" s="43">
        <v>0</v>
      </c>
      <c r="G120" s="29">
        <v>0</v>
      </c>
      <c r="H120" s="29">
        <v>0</v>
      </c>
      <c r="I120" s="29">
        <v>0</v>
      </c>
      <c r="J120" s="29">
        <v>0</v>
      </c>
      <c r="K120" s="29">
        <v>0</v>
      </c>
      <c r="L120" s="29">
        <v>0</v>
      </c>
      <c r="M120" s="29">
        <v>0</v>
      </c>
      <c r="N120" s="29">
        <v>0</v>
      </c>
      <c r="O120" s="29">
        <v>0</v>
      </c>
      <c r="P120" s="29">
        <v>-1151700</v>
      </c>
      <c r="Q120" s="29">
        <v>0</v>
      </c>
      <c r="R120" s="29">
        <v>0</v>
      </c>
      <c r="S120" s="29">
        <v>0</v>
      </c>
    </row>
    <row r="121" spans="1:19">
      <c r="A121" t="s">
        <v>358</v>
      </c>
      <c r="B121">
        <v>-21887296</v>
      </c>
      <c r="C121">
        <v>-21123881</v>
      </c>
      <c r="D121">
        <v>0</v>
      </c>
      <c r="E121" s="43">
        <v>0</v>
      </c>
      <c r="F121">
        <v>0</v>
      </c>
      <c r="G121" s="29">
        <v>0</v>
      </c>
      <c r="H121" s="29">
        <v>0</v>
      </c>
      <c r="I121" s="29">
        <v>0</v>
      </c>
      <c r="J121" s="29">
        <v>0</v>
      </c>
      <c r="K121" s="29">
        <v>0</v>
      </c>
      <c r="L121" s="29">
        <v>0</v>
      </c>
      <c r="M121" s="29">
        <v>0</v>
      </c>
      <c r="N121" s="29">
        <v>0</v>
      </c>
      <c r="O121" s="29">
        <v>0</v>
      </c>
      <c r="P121" s="29">
        <v>-10259300</v>
      </c>
      <c r="Q121" s="29">
        <v>0</v>
      </c>
      <c r="R121" s="29">
        <v>0</v>
      </c>
      <c r="S121" s="29">
        <v>0</v>
      </c>
    </row>
    <row r="122" spans="1:19">
      <c r="A122" s="24" t="s">
        <v>957</v>
      </c>
      <c r="B122" s="24"/>
      <c r="C122" s="24"/>
      <c r="D122">
        <v>0</v>
      </c>
      <c r="E122">
        <v>0</v>
      </c>
      <c r="G122" s="29"/>
      <c r="H122" s="29"/>
      <c r="I122" s="29"/>
      <c r="J122" s="29"/>
      <c r="K122" s="29"/>
      <c r="L122" s="29"/>
      <c r="M122" s="29"/>
      <c r="N122" s="29"/>
      <c r="O122" s="29"/>
      <c r="P122" s="29"/>
      <c r="Q122" s="29"/>
      <c r="R122" s="29"/>
      <c r="S122" s="29"/>
    </row>
    <row r="123" spans="1:19">
      <c r="A123" s="33"/>
      <c r="B123" s="33"/>
      <c r="C123" s="33"/>
      <c r="D123" s="34"/>
      <c r="E123" s="34"/>
      <c r="F123" s="34"/>
      <c r="G123" s="34"/>
      <c r="H123" s="34"/>
      <c r="I123" s="33"/>
      <c r="J123" s="33"/>
      <c r="K123" s="33"/>
      <c r="L123" s="33"/>
      <c r="M123" s="33"/>
      <c r="N123" s="33"/>
      <c r="O123" s="33"/>
      <c r="P123" s="33"/>
      <c r="Q123" s="33"/>
      <c r="R123" s="33"/>
      <c r="S123" s="33"/>
    </row>
    <row r="124" spans="1:19">
      <c r="A124" s="23" t="s">
        <v>359</v>
      </c>
      <c r="B124" s="53">
        <f t="shared" ref="B124:S124" si="50">SUBTOTAL(9,B126:B139)</f>
        <v>72162803</v>
      </c>
      <c r="C124" s="53">
        <f t="shared" si="50"/>
        <v>69623737</v>
      </c>
      <c r="D124" s="53">
        <f t="shared" si="50"/>
        <v>66958012</v>
      </c>
      <c r="E124" s="53">
        <f t="shared" si="50"/>
        <v>66502029</v>
      </c>
      <c r="F124" s="53">
        <f t="shared" si="50"/>
        <v>62302953</v>
      </c>
      <c r="G124" s="53">
        <f t="shared" si="50"/>
        <v>58554656</v>
      </c>
      <c r="H124" s="53">
        <f t="shared" si="50"/>
        <v>57726697</v>
      </c>
      <c r="I124" s="53">
        <f t="shared" si="50"/>
        <v>57490897</v>
      </c>
      <c r="J124" s="53">
        <f t="shared" si="50"/>
        <v>58391289</v>
      </c>
      <c r="K124" s="53">
        <f t="shared" si="50"/>
        <v>57730829</v>
      </c>
      <c r="L124" s="53">
        <f t="shared" si="50"/>
        <v>55802653</v>
      </c>
      <c r="M124" s="53">
        <f t="shared" si="50"/>
        <v>50944890</v>
      </c>
      <c r="N124" s="53">
        <f t="shared" si="50"/>
        <v>46545516</v>
      </c>
      <c r="O124" s="53">
        <f t="shared" si="50"/>
        <v>45330743</v>
      </c>
      <c r="P124" s="53">
        <f t="shared" si="50"/>
        <v>43544200</v>
      </c>
      <c r="Q124" s="53">
        <f t="shared" si="50"/>
        <v>38260200</v>
      </c>
      <c r="R124" s="53">
        <f t="shared" si="50"/>
        <v>35315100</v>
      </c>
      <c r="S124" s="53">
        <f t="shared" si="50"/>
        <v>31004500</v>
      </c>
    </row>
    <row r="125" spans="1:19">
      <c r="A125" s="23"/>
      <c r="B125" s="23"/>
      <c r="C125" s="23"/>
      <c r="E125" s="29"/>
      <c r="F125" s="29"/>
      <c r="G125" s="29"/>
      <c r="H125" s="29"/>
      <c r="I125" s="29"/>
      <c r="J125" s="23"/>
      <c r="K125" s="23"/>
      <c r="L125" s="23"/>
      <c r="M125" s="23"/>
      <c r="N125" s="23"/>
      <c r="O125" s="23"/>
      <c r="P125" s="23"/>
      <c r="Q125" s="23"/>
      <c r="R125" s="23"/>
      <c r="S125" s="23"/>
    </row>
    <row r="126" spans="1:19">
      <c r="A126" s="23" t="s">
        <v>360</v>
      </c>
      <c r="B126" s="53">
        <f t="shared" ref="B126:C126" si="51">SUBTOTAL(9,B127:B128)</f>
        <v>8733118</v>
      </c>
      <c r="C126" s="53">
        <f t="shared" si="51"/>
        <v>8463135</v>
      </c>
      <c r="D126" s="53">
        <f t="shared" ref="D126:S126" si="52">SUBTOTAL(9,D127:D128)</f>
        <v>8997278</v>
      </c>
      <c r="E126" s="53">
        <f t="shared" si="52"/>
        <v>8812335</v>
      </c>
      <c r="F126" s="53">
        <f t="shared" si="52"/>
        <v>7857738</v>
      </c>
      <c r="G126" s="53">
        <f t="shared" si="52"/>
        <v>8038915</v>
      </c>
      <c r="H126" s="53">
        <f t="shared" si="52"/>
        <v>6854612</v>
      </c>
      <c r="I126" s="53">
        <f t="shared" si="52"/>
        <v>6713270</v>
      </c>
      <c r="J126" s="53">
        <f t="shared" si="52"/>
        <v>5945300</v>
      </c>
      <c r="K126" s="53">
        <f t="shared" si="52"/>
        <v>7640504</v>
      </c>
      <c r="L126" s="53">
        <f t="shared" si="52"/>
        <v>9061124</v>
      </c>
      <c r="M126" s="53">
        <f t="shared" si="52"/>
        <v>8113036</v>
      </c>
      <c r="N126" s="53">
        <f t="shared" si="52"/>
        <v>7244872</v>
      </c>
      <c r="O126" s="53">
        <f t="shared" si="52"/>
        <v>6960699</v>
      </c>
      <c r="P126" s="53">
        <f t="shared" si="52"/>
        <v>6172700</v>
      </c>
      <c r="Q126" s="53">
        <f t="shared" si="52"/>
        <v>5745900</v>
      </c>
      <c r="R126" s="53">
        <f t="shared" si="52"/>
        <v>4577700</v>
      </c>
      <c r="S126" s="53">
        <f t="shared" si="52"/>
        <v>3849400</v>
      </c>
    </row>
    <row r="127" spans="1:19">
      <c r="A127" t="s">
        <v>361</v>
      </c>
      <c r="B127">
        <v>2456778</v>
      </c>
      <c r="C127">
        <v>2321142</v>
      </c>
      <c r="D127">
        <v>2939559</v>
      </c>
      <c r="E127">
        <v>2880595</v>
      </c>
      <c r="F127" s="43">
        <v>2535581</v>
      </c>
      <c r="G127" s="29">
        <v>2597533</v>
      </c>
      <c r="H127" s="29">
        <v>2245783</v>
      </c>
      <c r="I127" s="29">
        <v>2207719</v>
      </c>
      <c r="J127" s="29">
        <v>2027838</v>
      </c>
      <c r="K127" s="29">
        <v>2687211</v>
      </c>
      <c r="L127" s="29">
        <v>3088271</v>
      </c>
      <c r="M127" s="29">
        <v>2718838</v>
      </c>
      <c r="N127" s="29">
        <v>2486206</v>
      </c>
      <c r="O127" s="29">
        <v>2395399</v>
      </c>
      <c r="P127" s="29">
        <v>6172700</v>
      </c>
      <c r="Q127" s="29">
        <v>5745900</v>
      </c>
      <c r="R127" s="29">
        <v>4577700</v>
      </c>
      <c r="S127" s="29">
        <v>3849400</v>
      </c>
    </row>
    <row r="128" spans="1:19">
      <c r="A128" t="s">
        <v>362</v>
      </c>
      <c r="B128">
        <v>6276340</v>
      </c>
      <c r="C128">
        <v>6141993</v>
      </c>
      <c r="D128">
        <v>6057719</v>
      </c>
      <c r="E128">
        <v>5931740</v>
      </c>
      <c r="F128" s="43">
        <v>5322157</v>
      </c>
      <c r="G128" s="29">
        <v>5441382</v>
      </c>
      <c r="H128" s="29">
        <v>4608829</v>
      </c>
      <c r="I128" s="29">
        <v>4505551</v>
      </c>
      <c r="J128" s="29">
        <v>3917462</v>
      </c>
      <c r="K128" s="29">
        <v>4953293</v>
      </c>
      <c r="L128" s="29">
        <v>5972853</v>
      </c>
      <c r="M128" s="29">
        <v>5394198</v>
      </c>
      <c r="N128" s="29">
        <v>4758666</v>
      </c>
      <c r="O128" s="29">
        <v>4565300</v>
      </c>
      <c r="P128" s="29">
        <v>0</v>
      </c>
      <c r="Q128" s="29">
        <v>0</v>
      </c>
      <c r="R128" s="29">
        <v>0</v>
      </c>
      <c r="S128" s="29">
        <v>0</v>
      </c>
    </row>
    <row r="129" spans="1:19">
      <c r="E129" s="29"/>
      <c r="F129" s="29"/>
      <c r="G129" s="29"/>
      <c r="H129" s="29"/>
      <c r="I129" s="29"/>
      <c r="J129" s="29"/>
      <c r="K129" s="29"/>
      <c r="L129" s="29"/>
      <c r="M129" s="29"/>
      <c r="N129" s="29"/>
      <c r="O129" s="29"/>
      <c r="P129" s="29"/>
      <c r="Q129" s="29"/>
      <c r="R129" s="29"/>
      <c r="S129" s="29"/>
    </row>
    <row r="130" spans="1:19">
      <c r="A130" s="23" t="s">
        <v>363</v>
      </c>
      <c r="B130" s="53">
        <f t="shared" ref="B130:S130" si="53">SUBTOTAL(9,B131:B135)</f>
        <v>61305668</v>
      </c>
      <c r="C130" s="53">
        <f t="shared" si="53"/>
        <v>59067974</v>
      </c>
      <c r="D130" s="53">
        <f t="shared" si="53"/>
        <v>55937025</v>
      </c>
      <c r="E130" s="53">
        <f t="shared" si="53"/>
        <v>55760502</v>
      </c>
      <c r="F130" s="53">
        <f t="shared" si="53"/>
        <v>52613610</v>
      </c>
      <c r="G130" s="53">
        <f t="shared" si="53"/>
        <v>48721204</v>
      </c>
      <c r="H130" s="53">
        <f t="shared" si="53"/>
        <v>49073075</v>
      </c>
      <c r="I130" s="53">
        <f t="shared" si="53"/>
        <v>48785705</v>
      </c>
      <c r="J130" s="53">
        <f t="shared" si="53"/>
        <v>50481486</v>
      </c>
      <c r="K130" s="53">
        <f t="shared" si="53"/>
        <v>48260048</v>
      </c>
      <c r="L130" s="53">
        <f t="shared" si="53"/>
        <v>44875150</v>
      </c>
      <c r="M130" s="53">
        <f t="shared" si="53"/>
        <v>41099427</v>
      </c>
      <c r="N130" s="53">
        <f t="shared" si="53"/>
        <v>37837445</v>
      </c>
      <c r="O130" s="53">
        <f t="shared" si="53"/>
        <v>36891448</v>
      </c>
      <c r="P130" s="53">
        <f t="shared" si="53"/>
        <v>35651400</v>
      </c>
      <c r="Q130" s="53">
        <f t="shared" si="53"/>
        <v>30809300</v>
      </c>
      <c r="R130" s="53">
        <f t="shared" si="53"/>
        <v>28940800</v>
      </c>
      <c r="S130" s="53">
        <f t="shared" si="53"/>
        <v>25924700</v>
      </c>
    </row>
    <row r="131" spans="1:19">
      <c r="A131" t="s">
        <v>364</v>
      </c>
      <c r="B131">
        <v>47287555</v>
      </c>
      <c r="C131">
        <v>45585836</v>
      </c>
      <c r="D131">
        <v>43191005</v>
      </c>
      <c r="E131">
        <v>42988962</v>
      </c>
      <c r="F131" s="43">
        <v>40760012</v>
      </c>
      <c r="G131" s="29">
        <v>38574296</v>
      </c>
      <c r="H131" s="29">
        <v>39233200</v>
      </c>
      <c r="I131" s="29">
        <v>39174341</v>
      </c>
      <c r="J131" s="29">
        <v>40681749</v>
      </c>
      <c r="K131" s="29">
        <v>38985018</v>
      </c>
      <c r="L131" s="29">
        <v>36461988</v>
      </c>
      <c r="M131" s="29">
        <v>33257887</v>
      </c>
      <c r="N131" s="29">
        <v>30567008</v>
      </c>
      <c r="O131" s="29">
        <v>30193680</v>
      </c>
      <c r="P131" s="29">
        <v>29343000</v>
      </c>
      <c r="Q131" s="29">
        <v>25308400</v>
      </c>
      <c r="R131" s="29">
        <v>23960700</v>
      </c>
      <c r="S131" s="29">
        <v>21579600</v>
      </c>
    </row>
    <row r="132" spans="1:19">
      <c r="A132" t="s">
        <v>365</v>
      </c>
      <c r="B132">
        <v>11345566</v>
      </c>
      <c r="C132">
        <v>10937278</v>
      </c>
      <c r="D132">
        <v>10297526</v>
      </c>
      <c r="E132">
        <v>10322946</v>
      </c>
      <c r="F132" s="43">
        <v>9409431</v>
      </c>
      <c r="G132" s="29">
        <v>8788920</v>
      </c>
      <c r="H132" s="29">
        <v>8441590</v>
      </c>
      <c r="I132" s="29">
        <v>8252094</v>
      </c>
      <c r="J132" s="29">
        <v>8447612</v>
      </c>
      <c r="K132" s="29">
        <v>7965331</v>
      </c>
      <c r="L132" s="29">
        <v>7152685</v>
      </c>
      <c r="M132" s="29">
        <v>6599592</v>
      </c>
      <c r="N132" s="29">
        <v>6146694</v>
      </c>
      <c r="O132" s="29">
        <v>5597560</v>
      </c>
      <c r="P132" s="29">
        <v>5216500</v>
      </c>
      <c r="Q132" s="29">
        <v>4379200</v>
      </c>
      <c r="R132" s="29">
        <v>3891800</v>
      </c>
      <c r="S132" s="29">
        <v>3477000</v>
      </c>
    </row>
    <row r="133" spans="1:19">
      <c r="A133" t="s">
        <v>366</v>
      </c>
      <c r="B133">
        <v>1894857</v>
      </c>
      <c r="C133">
        <v>1795156</v>
      </c>
      <c r="D133">
        <v>1653450</v>
      </c>
      <c r="E133">
        <v>1708960</v>
      </c>
      <c r="F133" s="43">
        <v>1645140</v>
      </c>
      <c r="G133" s="29">
        <v>1227322</v>
      </c>
      <c r="H133" s="29">
        <v>1297281</v>
      </c>
      <c r="I133" s="29">
        <v>1268599</v>
      </c>
      <c r="J133" s="29">
        <v>1254934</v>
      </c>
      <c r="K133" s="29">
        <v>1216181</v>
      </c>
      <c r="L133" s="29">
        <v>1143368</v>
      </c>
      <c r="M133" s="29">
        <v>1130623</v>
      </c>
      <c r="N133" s="29">
        <v>1013870</v>
      </c>
      <c r="O133" s="29">
        <v>1020873</v>
      </c>
      <c r="P133" s="29">
        <v>1091900</v>
      </c>
      <c r="Q133" s="29">
        <v>1121700</v>
      </c>
      <c r="R133" s="29">
        <v>1088300</v>
      </c>
      <c r="S133" s="29">
        <v>868100</v>
      </c>
    </row>
    <row r="134" spans="1:19">
      <c r="A134" t="s">
        <v>367</v>
      </c>
      <c r="B134">
        <v>0</v>
      </c>
      <c r="C134">
        <v>0</v>
      </c>
      <c r="D134">
        <v>16433</v>
      </c>
      <c r="E134">
        <v>29390</v>
      </c>
      <c r="F134" s="43">
        <v>133207</v>
      </c>
      <c r="G134" s="29">
        <v>101117</v>
      </c>
      <c r="H134" s="29">
        <v>101004</v>
      </c>
      <c r="I134" s="29">
        <v>90671</v>
      </c>
      <c r="J134" s="29">
        <v>97191</v>
      </c>
      <c r="K134" s="29">
        <v>93518</v>
      </c>
      <c r="L134" s="29">
        <v>117109</v>
      </c>
      <c r="M134" s="29">
        <v>111325</v>
      </c>
      <c r="N134" s="29">
        <v>109873</v>
      </c>
      <c r="O134" s="29">
        <v>79335</v>
      </c>
      <c r="P134" s="29">
        <v>0</v>
      </c>
      <c r="Q134" s="29">
        <v>0</v>
      </c>
      <c r="R134" s="29">
        <v>0</v>
      </c>
      <c r="S134" s="29">
        <v>0</v>
      </c>
    </row>
    <row r="135" spans="1:19">
      <c r="A135" t="s">
        <v>368</v>
      </c>
      <c r="B135">
        <v>777690</v>
      </c>
      <c r="C135">
        <v>749704</v>
      </c>
      <c r="D135">
        <v>778611</v>
      </c>
      <c r="E135">
        <v>710244</v>
      </c>
      <c r="F135" s="43">
        <v>665820</v>
      </c>
      <c r="G135" s="29">
        <v>29549</v>
      </c>
      <c r="H135" s="29">
        <v>0</v>
      </c>
      <c r="I135" s="29">
        <v>0</v>
      </c>
      <c r="J135" s="29"/>
      <c r="K135" s="29"/>
      <c r="L135" s="29"/>
      <c r="M135" s="29"/>
      <c r="N135" s="29"/>
      <c r="O135" s="29"/>
      <c r="P135" s="29"/>
      <c r="Q135" s="29"/>
      <c r="R135" s="29"/>
      <c r="S135" s="29"/>
    </row>
    <row r="136" spans="1:19">
      <c r="E136" s="29"/>
      <c r="F136" s="29"/>
      <c r="G136" s="29"/>
      <c r="H136" s="29"/>
      <c r="I136" s="29"/>
      <c r="J136" s="29"/>
      <c r="K136" s="29"/>
      <c r="L136" s="29"/>
      <c r="M136" s="29"/>
      <c r="N136" s="29"/>
      <c r="O136" s="29"/>
      <c r="P136" s="29"/>
      <c r="Q136" s="29"/>
      <c r="R136" s="29"/>
      <c r="S136" s="29"/>
    </row>
    <row r="137" spans="1:19">
      <c r="A137" s="23" t="s">
        <v>369</v>
      </c>
      <c r="B137" s="53">
        <f t="shared" ref="B137:I137" si="54">SUBTOTAL(9,B138:B139)</f>
        <v>2124017</v>
      </c>
      <c r="C137" s="53">
        <f t="shared" si="54"/>
        <v>2092628</v>
      </c>
      <c r="D137" s="53">
        <f t="shared" si="54"/>
        <v>2023709</v>
      </c>
      <c r="E137" s="53">
        <f t="shared" si="54"/>
        <v>1929192</v>
      </c>
      <c r="F137" s="53">
        <f t="shared" si="54"/>
        <v>1831605</v>
      </c>
      <c r="G137" s="53">
        <f t="shared" si="54"/>
        <v>1794537</v>
      </c>
      <c r="H137" s="53">
        <f t="shared" si="54"/>
        <v>1799010</v>
      </c>
      <c r="I137" s="53">
        <f t="shared" si="54"/>
        <v>1991922</v>
      </c>
      <c r="J137" s="53">
        <f t="shared" ref="J137" si="55">SUBTOTAL(9,J138:J139)</f>
        <v>1964503</v>
      </c>
      <c r="K137" s="53">
        <f t="shared" ref="K137" si="56">SUBTOTAL(9,K138:K139)</f>
        <v>1830277</v>
      </c>
      <c r="L137" s="53">
        <f t="shared" ref="L137" si="57">SUBTOTAL(9,L138:L139)</f>
        <v>1866379</v>
      </c>
      <c r="M137" s="53">
        <f t="shared" ref="M137" si="58">SUBTOTAL(9,M138:M139)</f>
        <v>1732427</v>
      </c>
      <c r="N137" s="53">
        <f t="shared" ref="N137" si="59">SUBTOTAL(9,N138:N139)</f>
        <v>1463199</v>
      </c>
      <c r="O137" s="53">
        <f t="shared" ref="O137" si="60">SUBTOTAL(9,O138:O139)</f>
        <v>1478596</v>
      </c>
      <c r="P137" s="53">
        <f t="shared" ref="P137" si="61">SUBTOTAL(9,P138:P139)</f>
        <v>1720100</v>
      </c>
      <c r="Q137" s="53">
        <f t="shared" ref="Q137" si="62">SUBTOTAL(9,Q138:Q139)</f>
        <v>1705000</v>
      </c>
      <c r="R137" s="53">
        <f t="shared" ref="R137" si="63">SUBTOTAL(9,R138:R139)</f>
        <v>1796600</v>
      </c>
      <c r="S137" s="53">
        <f t="shared" ref="S137" si="64">SUBTOTAL(9,S138:S139)</f>
        <v>1230400</v>
      </c>
    </row>
    <row r="138" spans="1:19">
      <c r="A138" t="s">
        <v>370</v>
      </c>
      <c r="B138">
        <v>2124017</v>
      </c>
      <c r="C138">
        <v>2092628</v>
      </c>
      <c r="D138">
        <v>2010839</v>
      </c>
      <c r="E138">
        <v>1913540</v>
      </c>
      <c r="F138" s="43">
        <v>1816481</v>
      </c>
      <c r="G138" s="29">
        <v>1779914</v>
      </c>
      <c r="H138" s="29">
        <v>1790611</v>
      </c>
      <c r="I138" s="29">
        <v>1981376</v>
      </c>
      <c r="J138" s="29">
        <v>1941290</v>
      </c>
      <c r="K138" s="29">
        <v>1817320</v>
      </c>
      <c r="L138" s="29">
        <v>1849732</v>
      </c>
      <c r="M138" s="29">
        <v>1736629</v>
      </c>
      <c r="N138" s="29">
        <v>1442158</v>
      </c>
      <c r="O138" s="29">
        <v>1452291</v>
      </c>
      <c r="P138" s="29">
        <v>1720100</v>
      </c>
      <c r="Q138" s="29">
        <v>1705000</v>
      </c>
      <c r="R138" s="29">
        <v>1796600</v>
      </c>
      <c r="S138" s="29">
        <v>1230400</v>
      </c>
    </row>
    <row r="139" spans="1:19">
      <c r="A139" t="s">
        <v>371</v>
      </c>
      <c r="B139">
        <v>0</v>
      </c>
      <c r="C139">
        <v>0</v>
      </c>
      <c r="D139">
        <v>12870</v>
      </c>
      <c r="E139">
        <v>15652</v>
      </c>
      <c r="F139" s="43">
        <v>15124</v>
      </c>
      <c r="G139" s="29">
        <v>14623</v>
      </c>
      <c r="H139" s="29">
        <v>8399</v>
      </c>
      <c r="I139" s="29">
        <v>10546</v>
      </c>
      <c r="J139" s="29">
        <v>23213</v>
      </c>
      <c r="K139" s="29">
        <v>12957</v>
      </c>
      <c r="L139" s="29">
        <v>16647</v>
      </c>
      <c r="M139" s="29">
        <v>-4202</v>
      </c>
      <c r="N139" s="29">
        <v>21041</v>
      </c>
      <c r="O139" s="29">
        <v>26305</v>
      </c>
      <c r="P139" s="29">
        <v>0</v>
      </c>
      <c r="Q139" s="29">
        <v>0</v>
      </c>
      <c r="R139" s="29">
        <v>0</v>
      </c>
      <c r="S139" s="29">
        <v>0</v>
      </c>
    </row>
    <row r="140" spans="1:19">
      <c r="A140" s="33"/>
      <c r="B140" s="33"/>
      <c r="C140" s="33"/>
      <c r="D140" s="34"/>
      <c r="E140" s="34"/>
      <c r="F140" s="34"/>
      <c r="G140" s="34"/>
      <c r="H140" s="34"/>
      <c r="I140" s="33"/>
      <c r="J140" s="33"/>
      <c r="K140" s="33"/>
      <c r="L140" s="33"/>
      <c r="M140" s="33"/>
      <c r="N140" s="33"/>
      <c r="O140" s="33"/>
      <c r="P140" s="33"/>
      <c r="Q140" s="33"/>
      <c r="R140" s="33"/>
      <c r="S140" s="33"/>
    </row>
    <row r="141" spans="1:19">
      <c r="A141" s="23" t="s">
        <v>372</v>
      </c>
      <c r="B141" s="53">
        <f t="shared" ref="B141:S141" si="65">SUBTOTAL(9,B143:B167)</f>
        <v>44596230</v>
      </c>
      <c r="C141" s="53">
        <f t="shared" si="65"/>
        <v>42322244</v>
      </c>
      <c r="D141" s="53">
        <f t="shared" si="65"/>
        <v>50619955</v>
      </c>
      <c r="E141" s="53">
        <f t="shared" si="65"/>
        <v>50839548</v>
      </c>
      <c r="F141" s="53">
        <f t="shared" si="65"/>
        <v>50207510</v>
      </c>
      <c r="G141" s="53">
        <f t="shared" si="65"/>
        <v>50514952</v>
      </c>
      <c r="H141" s="53">
        <f t="shared" si="65"/>
        <v>46536396</v>
      </c>
      <c r="I141" s="53">
        <f t="shared" si="65"/>
        <v>43400009</v>
      </c>
      <c r="J141" s="53">
        <f t="shared" si="65"/>
        <v>44540552</v>
      </c>
      <c r="K141" s="53">
        <f t="shared" si="65"/>
        <v>45753516</v>
      </c>
      <c r="L141" s="53">
        <f t="shared" si="65"/>
        <v>43844192</v>
      </c>
      <c r="M141" s="53">
        <f t="shared" si="65"/>
        <v>43214429</v>
      </c>
      <c r="N141" s="53">
        <f t="shared" si="65"/>
        <v>41469288</v>
      </c>
      <c r="O141" s="53">
        <f t="shared" si="65"/>
        <v>38593021</v>
      </c>
      <c r="P141" s="53">
        <f t="shared" si="65"/>
        <v>42114100</v>
      </c>
      <c r="Q141" s="53">
        <f t="shared" si="65"/>
        <v>39371700</v>
      </c>
      <c r="R141" s="53">
        <f t="shared" si="65"/>
        <v>36584700</v>
      </c>
      <c r="S141" s="53">
        <f t="shared" si="65"/>
        <v>32481900</v>
      </c>
    </row>
    <row r="142" spans="1:19">
      <c r="A142" s="23"/>
      <c r="B142" s="23"/>
      <c r="C142" s="23"/>
      <c r="E142" s="29"/>
      <c r="F142" s="29"/>
      <c r="G142" s="29"/>
      <c r="H142" s="29"/>
      <c r="I142" s="29"/>
      <c r="J142" s="23"/>
      <c r="K142" s="23"/>
      <c r="L142" s="23"/>
      <c r="M142" s="23"/>
      <c r="N142" s="23"/>
      <c r="O142" s="23"/>
      <c r="P142" s="23"/>
      <c r="Q142" s="23"/>
      <c r="R142" s="23"/>
      <c r="S142" s="23"/>
    </row>
    <row r="143" spans="1:19">
      <c r="A143" s="23" t="s">
        <v>373</v>
      </c>
      <c r="B143" s="53">
        <f t="shared" ref="B143:S143" si="66">SUBTOTAL(9,B144:B156)</f>
        <v>19831186</v>
      </c>
      <c r="C143" s="53">
        <f t="shared" si="66"/>
        <v>17806628</v>
      </c>
      <c r="D143" s="53">
        <f t="shared" si="66"/>
        <v>24946982</v>
      </c>
      <c r="E143" s="53">
        <f t="shared" si="66"/>
        <v>26417548</v>
      </c>
      <c r="F143" s="53">
        <f t="shared" si="66"/>
        <v>25761907</v>
      </c>
      <c r="G143" s="53">
        <f t="shared" si="66"/>
        <v>27427643</v>
      </c>
      <c r="H143" s="53">
        <f t="shared" si="66"/>
        <v>23941236</v>
      </c>
      <c r="I143" s="53">
        <f t="shared" si="66"/>
        <v>22876777</v>
      </c>
      <c r="J143" s="53">
        <f t="shared" si="66"/>
        <v>24253129</v>
      </c>
      <c r="K143" s="53">
        <f t="shared" si="66"/>
        <v>25266622</v>
      </c>
      <c r="L143" s="53">
        <f t="shared" si="66"/>
        <v>24650968</v>
      </c>
      <c r="M143" s="53">
        <f t="shared" si="66"/>
        <v>24281342</v>
      </c>
      <c r="N143" s="53">
        <f t="shared" si="66"/>
        <v>22269068</v>
      </c>
      <c r="O143" s="53">
        <f t="shared" si="66"/>
        <v>21202819</v>
      </c>
      <c r="P143" s="53">
        <f t="shared" si="66"/>
        <v>23817800</v>
      </c>
      <c r="Q143" s="53">
        <f t="shared" si="66"/>
        <v>23494200</v>
      </c>
      <c r="R143" s="53">
        <f t="shared" si="66"/>
        <v>22101700</v>
      </c>
      <c r="S143" s="53">
        <f t="shared" si="66"/>
        <v>19434800</v>
      </c>
    </row>
    <row r="144" spans="1:19">
      <c r="A144" t="s">
        <v>374</v>
      </c>
      <c r="B144">
        <v>7261501</v>
      </c>
      <c r="C144">
        <v>6897410</v>
      </c>
      <c r="D144">
        <v>11246656</v>
      </c>
      <c r="E144">
        <v>11729035</v>
      </c>
      <c r="F144" s="43">
        <v>10984722</v>
      </c>
      <c r="G144" s="29">
        <v>12104355</v>
      </c>
      <c r="H144" s="29">
        <v>9712647</v>
      </c>
      <c r="I144" s="29">
        <v>9719930</v>
      </c>
      <c r="J144" s="29">
        <v>10732760</v>
      </c>
      <c r="K144" s="29">
        <v>11518613</v>
      </c>
      <c r="L144" s="29">
        <v>10722592</v>
      </c>
      <c r="M144" s="29">
        <v>11672172</v>
      </c>
      <c r="N144" s="29">
        <v>10981650</v>
      </c>
      <c r="O144" s="29">
        <v>10344854</v>
      </c>
      <c r="P144" s="29">
        <v>12619800</v>
      </c>
      <c r="Q144" s="29">
        <v>11794400</v>
      </c>
      <c r="R144" s="29">
        <v>11099400</v>
      </c>
      <c r="S144" s="29">
        <v>9896800</v>
      </c>
    </row>
    <row r="145" spans="1:19">
      <c r="A145" t="s">
        <v>375</v>
      </c>
      <c r="B145">
        <v>3298175</v>
      </c>
      <c r="C145">
        <v>3016199</v>
      </c>
      <c r="D145">
        <v>3800963</v>
      </c>
      <c r="E145">
        <v>3742203</v>
      </c>
      <c r="F145" s="43">
        <v>3547203</v>
      </c>
      <c r="G145" s="29">
        <v>3832525</v>
      </c>
      <c r="H145" s="29">
        <v>3217744</v>
      </c>
      <c r="I145" s="29">
        <v>3039570</v>
      </c>
      <c r="J145" s="29">
        <v>3220622</v>
      </c>
      <c r="K145" s="29">
        <v>3121662</v>
      </c>
      <c r="L145" s="29">
        <v>3239742</v>
      </c>
      <c r="M145" s="29">
        <v>2972942</v>
      </c>
      <c r="N145" s="29">
        <v>2531434</v>
      </c>
      <c r="O145" s="29">
        <v>2303400</v>
      </c>
      <c r="P145" s="29">
        <v>0</v>
      </c>
      <c r="Q145" s="29">
        <v>0</v>
      </c>
      <c r="R145" s="29">
        <v>0</v>
      </c>
      <c r="S145" s="29">
        <v>0</v>
      </c>
    </row>
    <row r="146" spans="1:19">
      <c r="A146" t="s">
        <v>376</v>
      </c>
      <c r="B146">
        <v>3652975</v>
      </c>
      <c r="C146">
        <v>3660279</v>
      </c>
      <c r="D146">
        <v>3100920</v>
      </c>
      <c r="E146">
        <v>3650555</v>
      </c>
      <c r="F146" s="43">
        <v>3831782</v>
      </c>
      <c r="G146" s="29">
        <v>4354306</v>
      </c>
      <c r="H146" s="29">
        <v>4132854</v>
      </c>
      <c r="I146" s="29">
        <v>3980488</v>
      </c>
      <c r="J146" s="29">
        <v>4167163</v>
      </c>
      <c r="K146" s="29">
        <v>4450651</v>
      </c>
      <c r="L146" s="29">
        <v>4581394</v>
      </c>
      <c r="M146" s="29">
        <v>4391761</v>
      </c>
      <c r="N146" s="29">
        <v>4376247</v>
      </c>
      <c r="O146" s="29">
        <v>4371713</v>
      </c>
      <c r="P146" s="29">
        <v>4881500</v>
      </c>
      <c r="Q146" s="29">
        <v>4679300</v>
      </c>
      <c r="R146" s="29">
        <v>4386200</v>
      </c>
      <c r="S146" s="29">
        <v>4048700</v>
      </c>
    </row>
    <row r="147" spans="1:19">
      <c r="A147" t="s">
        <v>377</v>
      </c>
      <c r="B147">
        <v>65332</v>
      </c>
      <c r="C147">
        <v>64366</v>
      </c>
      <c r="D147">
        <v>168470</v>
      </c>
      <c r="E147">
        <v>178428</v>
      </c>
      <c r="F147" s="43">
        <v>296327</v>
      </c>
      <c r="G147" s="29">
        <v>222079</v>
      </c>
      <c r="H147" s="29">
        <v>294921</v>
      </c>
      <c r="I147" s="29">
        <v>346459</v>
      </c>
      <c r="J147" s="29">
        <v>307054</v>
      </c>
      <c r="K147" s="29">
        <v>123575</v>
      </c>
      <c r="L147" s="29">
        <v>370007</v>
      </c>
      <c r="M147" s="29">
        <v>443118</v>
      </c>
      <c r="N147" s="29">
        <v>482113</v>
      </c>
      <c r="O147" s="29">
        <v>569527</v>
      </c>
      <c r="P147" s="29">
        <v>550700</v>
      </c>
      <c r="Q147" s="29">
        <v>673200</v>
      </c>
      <c r="R147" s="29">
        <v>667000</v>
      </c>
      <c r="S147" s="29">
        <v>717900</v>
      </c>
    </row>
    <row r="148" spans="1:19">
      <c r="A148" t="s">
        <v>378</v>
      </c>
      <c r="B148">
        <v>411947</v>
      </c>
      <c r="C148">
        <v>333259</v>
      </c>
      <c r="D148">
        <v>386128</v>
      </c>
      <c r="E148">
        <v>547016</v>
      </c>
      <c r="F148" s="43">
        <v>610268</v>
      </c>
      <c r="G148" s="29">
        <v>508328</v>
      </c>
      <c r="H148" s="29">
        <v>611539</v>
      </c>
      <c r="I148" s="29">
        <v>542342</v>
      </c>
      <c r="J148" s="29">
        <v>641160</v>
      </c>
      <c r="K148" s="29">
        <v>597243</v>
      </c>
      <c r="L148" s="29">
        <v>630457</v>
      </c>
      <c r="M148" s="29">
        <v>364612</v>
      </c>
      <c r="N148" s="29">
        <v>374029</v>
      </c>
      <c r="O148" s="29">
        <v>254662</v>
      </c>
      <c r="P148" s="29">
        <v>533000</v>
      </c>
      <c r="Q148" s="29">
        <v>484300</v>
      </c>
      <c r="R148" s="29">
        <v>405600</v>
      </c>
      <c r="S148" s="29">
        <v>311300</v>
      </c>
    </row>
    <row r="149" spans="1:19">
      <c r="A149" t="s">
        <v>379</v>
      </c>
      <c r="B149">
        <v>1007268</v>
      </c>
      <c r="C149">
        <v>992395</v>
      </c>
      <c r="D149">
        <v>975358</v>
      </c>
      <c r="E149">
        <v>1079546</v>
      </c>
      <c r="F149" s="43">
        <v>987686</v>
      </c>
      <c r="G149" s="29">
        <v>949370</v>
      </c>
      <c r="H149" s="29">
        <v>855102</v>
      </c>
      <c r="I149" s="29">
        <v>780018</v>
      </c>
      <c r="J149" s="29">
        <v>802262</v>
      </c>
      <c r="K149" s="29">
        <v>827114</v>
      </c>
      <c r="L149" s="29">
        <v>852667</v>
      </c>
      <c r="M149" s="29">
        <v>810613</v>
      </c>
      <c r="N149" s="29">
        <v>746357</v>
      </c>
      <c r="O149" s="29">
        <v>704847</v>
      </c>
      <c r="P149" s="29">
        <v>664700</v>
      </c>
      <c r="Q149" s="29">
        <v>650300</v>
      </c>
      <c r="R149" s="29">
        <v>603900</v>
      </c>
      <c r="S149" s="29">
        <v>578400</v>
      </c>
    </row>
    <row r="150" spans="1:19">
      <c r="A150" t="s">
        <v>380</v>
      </c>
      <c r="B150">
        <v>1025923</v>
      </c>
      <c r="C150">
        <v>1063883</v>
      </c>
      <c r="D150">
        <v>981036</v>
      </c>
      <c r="E150">
        <v>1001955</v>
      </c>
      <c r="F150" s="43">
        <v>903495</v>
      </c>
      <c r="G150" s="29">
        <v>1058932</v>
      </c>
      <c r="H150" s="29">
        <v>865280</v>
      </c>
      <c r="I150" s="29">
        <v>515982</v>
      </c>
      <c r="J150" s="29">
        <v>510693</v>
      </c>
      <c r="K150" s="29">
        <v>642984</v>
      </c>
      <c r="L150" s="29">
        <v>664555</v>
      </c>
      <c r="M150" s="29">
        <v>648493</v>
      </c>
      <c r="N150" s="29">
        <v>411414</v>
      </c>
      <c r="O150" s="29">
        <v>385230</v>
      </c>
      <c r="P150" s="29">
        <v>2669100</v>
      </c>
      <c r="Q150" s="29">
        <v>3777800</v>
      </c>
      <c r="R150" s="29">
        <v>3549900</v>
      </c>
      <c r="S150" s="29">
        <v>2807300</v>
      </c>
    </row>
    <row r="151" spans="1:19">
      <c r="A151" t="s">
        <v>381</v>
      </c>
      <c r="B151">
        <v>159487</v>
      </c>
      <c r="C151">
        <v>22130</v>
      </c>
      <c r="D151">
        <v>255451</v>
      </c>
      <c r="E151">
        <v>265045</v>
      </c>
      <c r="F151" s="43">
        <v>295397</v>
      </c>
      <c r="G151" s="29">
        <v>241053</v>
      </c>
      <c r="H151" s="29">
        <v>172043</v>
      </c>
      <c r="I151" s="29">
        <v>95833</v>
      </c>
      <c r="J151" s="29">
        <v>13716</v>
      </c>
      <c r="K151" s="29">
        <v>17485</v>
      </c>
      <c r="L151" s="29">
        <v>9741</v>
      </c>
      <c r="M151" s="29">
        <v>66448</v>
      </c>
      <c r="N151" s="29">
        <v>70617</v>
      </c>
      <c r="O151" s="29">
        <v>93545</v>
      </c>
      <c r="P151" s="29">
        <v>0</v>
      </c>
      <c r="Q151" s="29">
        <v>0</v>
      </c>
      <c r="R151" s="29">
        <v>0</v>
      </c>
      <c r="S151" s="29">
        <v>0</v>
      </c>
    </row>
    <row r="152" spans="1:19">
      <c r="A152" t="s">
        <v>382</v>
      </c>
      <c r="B152">
        <v>0</v>
      </c>
      <c r="C152">
        <v>0</v>
      </c>
      <c r="D152">
        <v>13024</v>
      </c>
      <c r="E152">
        <v>20419</v>
      </c>
      <c r="F152" s="43">
        <v>19063</v>
      </c>
      <c r="G152" s="29">
        <v>27053</v>
      </c>
      <c r="H152" s="29">
        <v>24910</v>
      </c>
      <c r="I152" s="29">
        <v>46972</v>
      </c>
      <c r="J152" s="29">
        <v>67607</v>
      </c>
      <c r="K152" s="29">
        <v>155000</v>
      </c>
      <c r="L152" s="29">
        <v>236979</v>
      </c>
      <c r="M152" s="29">
        <v>174760</v>
      </c>
      <c r="N152" s="29">
        <v>156935</v>
      </c>
      <c r="O152" s="29">
        <v>65997</v>
      </c>
      <c r="P152" s="29">
        <v>0</v>
      </c>
      <c r="Q152" s="29">
        <v>0</v>
      </c>
      <c r="R152" s="29">
        <v>0</v>
      </c>
      <c r="S152" s="29">
        <v>0</v>
      </c>
    </row>
    <row r="153" spans="1:19">
      <c r="A153" t="s">
        <v>383</v>
      </c>
      <c r="B153">
        <v>1778637</v>
      </c>
      <c r="C153">
        <v>1756707</v>
      </c>
      <c r="D153">
        <v>2521594</v>
      </c>
      <c r="E153">
        <v>2488856</v>
      </c>
      <c r="F153" s="43">
        <v>2429755</v>
      </c>
      <c r="G153" s="29">
        <v>2494626</v>
      </c>
      <c r="H153" s="29">
        <v>2220052</v>
      </c>
      <c r="I153" s="29">
        <v>2029235</v>
      </c>
      <c r="J153" s="29">
        <v>2044254</v>
      </c>
      <c r="K153" s="29">
        <v>2034678</v>
      </c>
      <c r="L153" s="29">
        <v>2057788</v>
      </c>
      <c r="M153" s="29">
        <v>1858664</v>
      </c>
      <c r="N153" s="29">
        <v>1663534</v>
      </c>
      <c r="O153" s="29">
        <v>1638406</v>
      </c>
      <c r="P153" s="29">
        <v>1707200</v>
      </c>
      <c r="Q153" s="29">
        <v>1276500</v>
      </c>
      <c r="R153" s="29">
        <v>1226100</v>
      </c>
      <c r="S153" s="29">
        <v>983900</v>
      </c>
    </row>
    <row r="154" spans="1:19">
      <c r="A154" t="s">
        <v>384</v>
      </c>
      <c r="B154">
        <v>0</v>
      </c>
      <c r="C154">
        <v>0</v>
      </c>
      <c r="D154" s="43">
        <v>972</v>
      </c>
      <c r="E154" s="43">
        <v>154</v>
      </c>
      <c r="F154" s="43">
        <v>266</v>
      </c>
      <c r="G154" s="29">
        <v>0</v>
      </c>
      <c r="H154" s="29">
        <v>431</v>
      </c>
      <c r="I154" s="29">
        <v>1357</v>
      </c>
      <c r="J154" s="29">
        <v>320</v>
      </c>
      <c r="K154" s="29" t="s">
        <v>4</v>
      </c>
      <c r="L154" s="29">
        <v>0</v>
      </c>
      <c r="M154" s="29">
        <v>0</v>
      </c>
      <c r="N154" s="29">
        <v>0</v>
      </c>
      <c r="O154" s="29">
        <v>0</v>
      </c>
      <c r="P154" s="29">
        <v>191800</v>
      </c>
      <c r="Q154" s="29">
        <v>158400</v>
      </c>
      <c r="R154" s="29">
        <v>163600</v>
      </c>
      <c r="S154" s="29">
        <v>90500</v>
      </c>
    </row>
    <row r="155" spans="1:19">
      <c r="A155" t="s">
        <v>385</v>
      </c>
      <c r="B155">
        <v>1169941</v>
      </c>
      <c r="C155">
        <v>0</v>
      </c>
      <c r="D155">
        <v>1049918</v>
      </c>
      <c r="E155">
        <v>1163115</v>
      </c>
      <c r="F155" s="43">
        <v>1440590</v>
      </c>
      <c r="G155" s="29">
        <v>1470629</v>
      </c>
      <c r="H155" s="29">
        <v>1496165</v>
      </c>
      <c r="I155" s="29">
        <v>1409248</v>
      </c>
      <c r="J155" s="29">
        <v>1386537</v>
      </c>
      <c r="K155" s="29">
        <v>1365091</v>
      </c>
      <c r="L155" s="29">
        <v>890666</v>
      </c>
      <c r="M155" s="29">
        <v>444755</v>
      </c>
      <c r="N155" s="29">
        <v>186351</v>
      </c>
      <c r="O155" s="29">
        <v>0</v>
      </c>
      <c r="P155" s="29">
        <v>0</v>
      </c>
      <c r="Q155" s="29">
        <v>0</v>
      </c>
      <c r="R155" s="29">
        <v>0</v>
      </c>
      <c r="S155" s="29">
        <v>0</v>
      </c>
    </row>
    <row r="156" spans="1:19">
      <c r="A156" t="s">
        <v>386</v>
      </c>
      <c r="B156">
        <v>0</v>
      </c>
      <c r="C156">
        <v>0</v>
      </c>
      <c r="D156">
        <v>446492</v>
      </c>
      <c r="E156">
        <v>551221</v>
      </c>
      <c r="F156" s="43">
        <v>415353</v>
      </c>
      <c r="G156" s="29">
        <v>164387</v>
      </c>
      <c r="H156" s="29">
        <v>337548</v>
      </c>
      <c r="I156" s="29">
        <v>369343</v>
      </c>
      <c r="J156" s="29">
        <v>358981</v>
      </c>
      <c r="K156" s="29">
        <v>412526</v>
      </c>
      <c r="L156" s="29">
        <v>394380</v>
      </c>
      <c r="M156" s="29">
        <v>433004</v>
      </c>
      <c r="N156" s="29">
        <v>288387</v>
      </c>
      <c r="O156" s="29">
        <v>470638</v>
      </c>
      <c r="P156" s="29">
        <v>0</v>
      </c>
      <c r="Q156" s="29">
        <v>0</v>
      </c>
      <c r="R156" s="29">
        <v>0</v>
      </c>
      <c r="S156" s="29">
        <v>0</v>
      </c>
    </row>
    <row r="157" spans="1:19">
      <c r="E157" s="29"/>
      <c r="F157" s="29"/>
      <c r="G157" s="29"/>
      <c r="H157" s="29"/>
      <c r="J157" s="29"/>
      <c r="K157" s="29"/>
      <c r="L157" s="29"/>
      <c r="M157" s="29"/>
      <c r="N157" s="29"/>
      <c r="O157" s="29"/>
      <c r="P157" s="29"/>
      <c r="Q157" s="29"/>
      <c r="R157" s="29"/>
      <c r="S157" s="29"/>
    </row>
    <row r="158" spans="1:19">
      <c r="A158" s="23" t="s">
        <v>387</v>
      </c>
      <c r="B158" s="53">
        <f t="shared" ref="B158:S158" si="67">SUBTOTAL(9,B159:B164)</f>
        <v>22204119</v>
      </c>
      <c r="C158" s="53">
        <f t="shared" si="67"/>
        <v>21874220</v>
      </c>
      <c r="D158" s="53">
        <f t="shared" si="67"/>
        <v>22896520</v>
      </c>
      <c r="E158" s="53">
        <f t="shared" si="67"/>
        <v>21017583</v>
      </c>
      <c r="F158" s="53">
        <f t="shared" si="67"/>
        <v>21232096</v>
      </c>
      <c r="G158" s="53">
        <f t="shared" si="67"/>
        <v>19589254</v>
      </c>
      <c r="H158" s="53">
        <f t="shared" si="67"/>
        <v>19403207</v>
      </c>
      <c r="I158" s="53">
        <f t="shared" si="67"/>
        <v>17779449</v>
      </c>
      <c r="J158" s="23">
        <f t="shared" si="67"/>
        <v>17822338</v>
      </c>
      <c r="K158" s="23">
        <f t="shared" si="67"/>
        <v>18134344</v>
      </c>
      <c r="L158" s="23">
        <f t="shared" si="67"/>
        <v>17076957</v>
      </c>
      <c r="M158" s="23">
        <f t="shared" si="67"/>
        <v>17062173</v>
      </c>
      <c r="N158" s="23">
        <f t="shared" si="67"/>
        <v>17042580</v>
      </c>
      <c r="O158" s="23">
        <f t="shared" si="67"/>
        <v>15421095</v>
      </c>
      <c r="P158" s="23">
        <f t="shared" si="67"/>
        <v>16111800</v>
      </c>
      <c r="Q158" s="23">
        <f t="shared" si="67"/>
        <v>14018000</v>
      </c>
      <c r="R158" s="23">
        <f t="shared" si="67"/>
        <v>12763200</v>
      </c>
      <c r="S158" s="23">
        <f t="shared" si="67"/>
        <v>11222000</v>
      </c>
    </row>
    <row r="159" spans="1:19">
      <c r="A159" t="s">
        <v>388</v>
      </c>
      <c r="B159">
        <v>18584174</v>
      </c>
      <c r="C159">
        <v>18309530</v>
      </c>
      <c r="D159">
        <v>18351359</v>
      </c>
      <c r="E159">
        <v>17306147</v>
      </c>
      <c r="F159">
        <v>17722702</v>
      </c>
      <c r="G159" s="29">
        <v>16535816</v>
      </c>
      <c r="H159" s="29">
        <v>15995892</v>
      </c>
      <c r="I159" s="29">
        <v>15171632</v>
      </c>
      <c r="J159">
        <v>14820496</v>
      </c>
      <c r="K159">
        <v>13813388</v>
      </c>
      <c r="L159">
        <v>12437081</v>
      </c>
      <c r="M159">
        <v>11900575</v>
      </c>
      <c r="N159">
        <v>12095275</v>
      </c>
      <c r="O159">
        <v>11531096</v>
      </c>
      <c r="P159">
        <v>15696600</v>
      </c>
      <c r="Q159">
        <v>13765700</v>
      </c>
      <c r="R159">
        <v>12679100</v>
      </c>
      <c r="S159">
        <v>11222000</v>
      </c>
    </row>
    <row r="160" spans="1:19">
      <c r="A160" t="s">
        <v>389</v>
      </c>
      <c r="B160">
        <v>2793163</v>
      </c>
      <c r="C160">
        <v>2751885</v>
      </c>
      <c r="D160">
        <v>3492074</v>
      </c>
      <c r="E160">
        <v>2450356</v>
      </c>
      <c r="F160">
        <v>2257397</v>
      </c>
      <c r="G160" s="29">
        <v>1840982</v>
      </c>
      <c r="H160" s="29">
        <v>2254601</v>
      </c>
      <c r="I160" s="29">
        <v>1538049</v>
      </c>
      <c r="J160">
        <v>1986119</v>
      </c>
      <c r="K160">
        <v>3325440</v>
      </c>
      <c r="L160">
        <v>3667919</v>
      </c>
      <c r="M160">
        <v>3917276</v>
      </c>
      <c r="N160">
        <v>4037543</v>
      </c>
      <c r="O160">
        <v>3163231</v>
      </c>
      <c r="P160">
        <v>0</v>
      </c>
      <c r="Q160">
        <v>0</v>
      </c>
      <c r="R160">
        <v>0</v>
      </c>
      <c r="S160">
        <v>0</v>
      </c>
    </row>
    <row r="161" spans="1:19">
      <c r="A161" t="s">
        <v>390</v>
      </c>
      <c r="B161">
        <v>62119</v>
      </c>
      <c r="C161">
        <v>59442</v>
      </c>
      <c r="D161">
        <v>92809</v>
      </c>
      <c r="E161">
        <v>96424</v>
      </c>
      <c r="F161">
        <v>86646</v>
      </c>
      <c r="G161" s="29">
        <v>80234</v>
      </c>
      <c r="H161" s="29">
        <v>76366</v>
      </c>
      <c r="I161" s="29">
        <v>66801</v>
      </c>
      <c r="J161">
        <v>68148</v>
      </c>
      <c r="K161">
        <v>51715</v>
      </c>
      <c r="L161">
        <v>55507</v>
      </c>
      <c r="M161">
        <v>48003</v>
      </c>
      <c r="N161">
        <v>38788</v>
      </c>
      <c r="O161">
        <v>47420</v>
      </c>
      <c r="P161">
        <v>0</v>
      </c>
      <c r="Q161">
        <v>0</v>
      </c>
      <c r="R161">
        <v>0</v>
      </c>
      <c r="S161">
        <v>0</v>
      </c>
    </row>
    <row r="162" spans="1:19">
      <c r="A162" t="s">
        <v>391</v>
      </c>
      <c r="B162">
        <v>230407</v>
      </c>
      <c r="C162">
        <v>227002</v>
      </c>
      <c r="D162">
        <v>259599</v>
      </c>
      <c r="E162">
        <v>273468</v>
      </c>
      <c r="F162">
        <v>357048</v>
      </c>
      <c r="G162" s="29">
        <v>363453</v>
      </c>
      <c r="H162" s="29">
        <v>306226</v>
      </c>
      <c r="I162" s="29">
        <v>295675</v>
      </c>
      <c r="J162">
        <v>240752</v>
      </c>
      <c r="K162">
        <v>254892</v>
      </c>
      <c r="L162">
        <v>394522</v>
      </c>
      <c r="M162">
        <v>620207</v>
      </c>
      <c r="N162">
        <v>418054</v>
      </c>
      <c r="O162">
        <v>270784</v>
      </c>
      <c r="P162">
        <v>0</v>
      </c>
      <c r="Q162">
        <v>0</v>
      </c>
      <c r="R162">
        <v>0</v>
      </c>
      <c r="S162">
        <v>0</v>
      </c>
    </row>
    <row r="163" spans="1:19">
      <c r="A163" t="s">
        <v>392</v>
      </c>
      <c r="B163">
        <v>0</v>
      </c>
      <c r="C163">
        <v>0</v>
      </c>
      <c r="D163">
        <v>570</v>
      </c>
      <c r="E163">
        <v>284</v>
      </c>
      <c r="F163">
        <v>2307</v>
      </c>
      <c r="G163" s="29">
        <v>9296</v>
      </c>
      <c r="H163" s="29">
        <v>9493</v>
      </c>
      <c r="I163" s="29">
        <v>0</v>
      </c>
    </row>
    <row r="164" spans="1:19">
      <c r="A164" t="s">
        <v>393</v>
      </c>
      <c r="B164">
        <v>534256</v>
      </c>
      <c r="C164">
        <v>526361</v>
      </c>
      <c r="D164">
        <v>700109</v>
      </c>
      <c r="E164">
        <v>890904</v>
      </c>
      <c r="F164">
        <v>805996</v>
      </c>
      <c r="G164" s="29">
        <v>759473</v>
      </c>
      <c r="H164" s="29">
        <v>760629</v>
      </c>
      <c r="I164" s="29">
        <v>707292</v>
      </c>
      <c r="J164">
        <v>706823</v>
      </c>
      <c r="K164">
        <v>688909</v>
      </c>
      <c r="L164">
        <v>521928</v>
      </c>
      <c r="M164">
        <v>576112</v>
      </c>
      <c r="N164">
        <v>452920</v>
      </c>
      <c r="O164">
        <v>408564</v>
      </c>
      <c r="P164">
        <v>415200</v>
      </c>
      <c r="Q164">
        <v>252300</v>
      </c>
      <c r="R164">
        <v>84100</v>
      </c>
      <c r="S164">
        <v>0</v>
      </c>
    </row>
    <row r="165" spans="1:19">
      <c r="E165" s="29"/>
      <c r="F165" s="29"/>
      <c r="G165" s="29"/>
      <c r="H165" s="29"/>
      <c r="I165" s="29"/>
    </row>
    <row r="166" spans="1:19">
      <c r="A166" s="23" t="s">
        <v>394</v>
      </c>
      <c r="B166" s="53">
        <f t="shared" ref="B166:S166" si="68">SUBTOTAL(9,B167:B167)</f>
        <v>2560925</v>
      </c>
      <c r="C166" s="53">
        <f t="shared" si="68"/>
        <v>2641396</v>
      </c>
      <c r="D166" s="53">
        <f t="shared" si="68"/>
        <v>2776453</v>
      </c>
      <c r="E166" s="53">
        <f t="shared" si="68"/>
        <v>3404417</v>
      </c>
      <c r="F166" s="53">
        <f t="shared" si="68"/>
        <v>3213507</v>
      </c>
      <c r="G166" s="53">
        <f t="shared" si="68"/>
        <v>3498055</v>
      </c>
      <c r="H166" s="53">
        <f t="shared" si="68"/>
        <v>3191953</v>
      </c>
      <c r="I166" s="53">
        <f t="shared" si="68"/>
        <v>2743783</v>
      </c>
      <c r="J166" s="23">
        <f t="shared" si="68"/>
        <v>2465085</v>
      </c>
      <c r="K166" s="23">
        <f t="shared" si="68"/>
        <v>2352550</v>
      </c>
      <c r="L166" s="23">
        <f t="shared" si="68"/>
        <v>2116267</v>
      </c>
      <c r="M166" s="23">
        <f t="shared" si="68"/>
        <v>1870914</v>
      </c>
      <c r="N166" s="23">
        <f t="shared" si="68"/>
        <v>2157640</v>
      </c>
      <c r="O166" s="23">
        <f t="shared" si="68"/>
        <v>1969107</v>
      </c>
      <c r="P166" s="23">
        <f t="shared" si="68"/>
        <v>2184500</v>
      </c>
      <c r="Q166" s="23">
        <f t="shared" si="68"/>
        <v>1859500</v>
      </c>
      <c r="R166" s="23">
        <f t="shared" si="68"/>
        <v>1719800</v>
      </c>
      <c r="S166" s="23">
        <f t="shared" si="68"/>
        <v>1825100</v>
      </c>
    </row>
    <row r="167" spans="1:19">
      <c r="A167" t="s">
        <v>395</v>
      </c>
      <c r="B167">
        <v>2560925</v>
      </c>
      <c r="C167">
        <v>2641396</v>
      </c>
      <c r="D167">
        <v>2776453</v>
      </c>
      <c r="E167">
        <v>3404417</v>
      </c>
      <c r="F167">
        <v>3213507</v>
      </c>
      <c r="G167" s="29">
        <v>3498055</v>
      </c>
      <c r="H167" s="29">
        <v>3191953</v>
      </c>
      <c r="I167" s="29">
        <v>2743783</v>
      </c>
      <c r="J167">
        <v>2465085</v>
      </c>
      <c r="K167">
        <v>2352550</v>
      </c>
      <c r="L167">
        <v>2116267</v>
      </c>
      <c r="M167">
        <v>1870914</v>
      </c>
      <c r="N167">
        <v>2157640</v>
      </c>
      <c r="O167">
        <v>1969107</v>
      </c>
      <c r="P167">
        <v>2184500</v>
      </c>
      <c r="Q167">
        <v>1859500</v>
      </c>
      <c r="R167">
        <v>1719800</v>
      </c>
      <c r="S167">
        <v>1825100</v>
      </c>
    </row>
    <row r="168" spans="1:19">
      <c r="A168" s="33"/>
      <c r="B168" s="33"/>
      <c r="C168" s="33"/>
      <c r="D168" s="34"/>
      <c r="E168" s="34"/>
      <c r="F168" s="34"/>
      <c r="G168" s="34"/>
      <c r="H168" s="34"/>
      <c r="I168" s="33"/>
      <c r="J168" s="33"/>
      <c r="K168" s="33"/>
      <c r="L168" s="33"/>
      <c r="M168" s="33"/>
      <c r="N168" s="33"/>
      <c r="O168" s="33"/>
      <c r="P168" s="33"/>
      <c r="Q168" s="33"/>
      <c r="R168" s="33"/>
      <c r="S168" s="33"/>
    </row>
    <row r="169" spans="1:19">
      <c r="A169" s="23" t="s">
        <v>396</v>
      </c>
      <c r="B169" s="53">
        <f t="shared" ref="B169" si="69">SUBTOTAL(9,B171:B208)</f>
        <v>16070613</v>
      </c>
      <c r="C169" s="53">
        <f>SUBTOTAL(9,C171:C208)</f>
        <v>16270424</v>
      </c>
      <c r="D169" s="53">
        <f t="shared" ref="D169:S169" si="70">SUBTOTAL(9,D171:D208)</f>
        <v>7996000</v>
      </c>
      <c r="E169" s="53">
        <f t="shared" si="70"/>
        <v>7926157</v>
      </c>
      <c r="F169" s="53">
        <f t="shared" si="70"/>
        <v>6835052</v>
      </c>
      <c r="G169" s="53">
        <f t="shared" si="70"/>
        <v>7687514</v>
      </c>
      <c r="H169" s="53">
        <f t="shared" si="70"/>
        <v>9207554</v>
      </c>
      <c r="I169" s="53">
        <f t="shared" si="70"/>
        <v>11423772</v>
      </c>
      <c r="J169" s="53">
        <f t="shared" si="70"/>
        <v>8454712</v>
      </c>
      <c r="K169" s="53">
        <f t="shared" si="70"/>
        <v>9309742</v>
      </c>
      <c r="L169" s="53">
        <f t="shared" si="70"/>
        <v>8333756</v>
      </c>
      <c r="M169" s="53">
        <f t="shared" si="70"/>
        <v>8783656</v>
      </c>
      <c r="N169" s="53">
        <f t="shared" si="70"/>
        <v>10636864</v>
      </c>
      <c r="O169" s="53">
        <f t="shared" si="70"/>
        <v>8010938</v>
      </c>
      <c r="P169" s="53">
        <f t="shared" si="70"/>
        <v>9288100</v>
      </c>
      <c r="Q169" s="53">
        <f t="shared" si="70"/>
        <v>9602700</v>
      </c>
      <c r="R169" s="53">
        <f t="shared" si="70"/>
        <v>8141500</v>
      </c>
      <c r="S169" s="53">
        <f t="shared" si="70"/>
        <v>8187300</v>
      </c>
    </row>
    <row r="170" spans="1:19">
      <c r="A170" s="36"/>
      <c r="B170" s="36"/>
      <c r="C170" s="36"/>
      <c r="E170" s="29"/>
      <c r="F170" s="29"/>
      <c r="G170" s="29"/>
      <c r="H170" s="36"/>
      <c r="J170" s="36"/>
      <c r="K170" s="36"/>
      <c r="L170" s="36"/>
      <c r="M170" s="36"/>
      <c r="N170" s="36"/>
      <c r="O170" s="36"/>
      <c r="P170" s="36"/>
      <c r="Q170" s="36"/>
      <c r="R170" s="36"/>
      <c r="S170" s="36"/>
    </row>
    <row r="171" spans="1:19">
      <c r="A171" s="23" t="s">
        <v>397</v>
      </c>
      <c r="B171" s="53">
        <f t="shared" ref="B171:S171" si="71">SUBTOTAL(9,B172:B183)</f>
        <v>10202121</v>
      </c>
      <c r="C171" s="53">
        <f t="shared" si="71"/>
        <v>10120001</v>
      </c>
      <c r="D171" s="53">
        <f t="shared" si="71"/>
        <v>9748579</v>
      </c>
      <c r="E171" s="53">
        <f t="shared" si="71"/>
        <v>9501236</v>
      </c>
      <c r="F171" s="53">
        <f t="shared" si="71"/>
        <v>9384722</v>
      </c>
      <c r="G171" s="53">
        <f t="shared" si="71"/>
        <v>9404870</v>
      </c>
      <c r="H171" s="53">
        <f t="shared" si="71"/>
        <v>9082064</v>
      </c>
      <c r="I171" s="53">
        <f t="shared" si="71"/>
        <v>9326410</v>
      </c>
      <c r="J171" s="23">
        <f t="shared" si="71"/>
        <v>9916611</v>
      </c>
      <c r="K171" s="23">
        <f t="shared" si="71"/>
        <v>9299365</v>
      </c>
      <c r="L171" s="23">
        <f t="shared" si="71"/>
        <v>8767341</v>
      </c>
      <c r="M171" s="23">
        <f t="shared" si="71"/>
        <v>8424874</v>
      </c>
      <c r="N171" s="23">
        <f t="shared" si="71"/>
        <v>9903433</v>
      </c>
      <c r="O171" s="23">
        <f t="shared" si="71"/>
        <v>8093621</v>
      </c>
      <c r="P171" s="23">
        <f t="shared" si="71"/>
        <v>8960800</v>
      </c>
      <c r="Q171" s="23">
        <f t="shared" si="71"/>
        <v>9748500</v>
      </c>
      <c r="R171" s="23">
        <f t="shared" si="71"/>
        <v>9013100</v>
      </c>
      <c r="S171" s="23">
        <f t="shared" si="71"/>
        <v>7614400</v>
      </c>
    </row>
    <row r="172" spans="1:19">
      <c r="A172" t="s">
        <v>398</v>
      </c>
      <c r="B172">
        <v>314000</v>
      </c>
      <c r="C172">
        <v>314000</v>
      </c>
      <c r="D172">
        <v>242008</v>
      </c>
      <c r="E172">
        <v>242001</v>
      </c>
      <c r="F172">
        <v>242008</v>
      </c>
      <c r="G172" s="29">
        <v>242001</v>
      </c>
      <c r="H172" s="29">
        <v>242001</v>
      </c>
      <c r="I172" s="29">
        <v>231632</v>
      </c>
      <c r="J172">
        <v>241395</v>
      </c>
      <c r="K172">
        <v>193501</v>
      </c>
      <c r="L172">
        <v>145004</v>
      </c>
      <c r="M172">
        <v>145004</v>
      </c>
      <c r="N172">
        <v>145004</v>
      </c>
      <c r="O172">
        <v>144981</v>
      </c>
      <c r="P172">
        <v>145000</v>
      </c>
      <c r="Q172">
        <v>142800</v>
      </c>
      <c r="R172">
        <v>145000</v>
      </c>
      <c r="S172">
        <v>120600</v>
      </c>
    </row>
    <row r="173" spans="1:19">
      <c r="A173" t="s">
        <v>399</v>
      </c>
      <c r="B173">
        <v>40944</v>
      </c>
      <c r="C173">
        <v>40339</v>
      </c>
      <c r="D173">
        <v>36824</v>
      </c>
      <c r="E173">
        <v>43437</v>
      </c>
      <c r="F173">
        <v>40581</v>
      </c>
      <c r="G173" s="29">
        <v>45090</v>
      </c>
      <c r="H173" s="29">
        <v>43637</v>
      </c>
      <c r="I173" s="29">
        <v>45842</v>
      </c>
      <c r="J173">
        <v>42836</v>
      </c>
      <c r="K173">
        <v>38327</v>
      </c>
      <c r="L173">
        <v>40896</v>
      </c>
      <c r="M173">
        <v>83049</v>
      </c>
      <c r="N173">
        <v>40965</v>
      </c>
      <c r="O173">
        <v>41750</v>
      </c>
      <c r="P173">
        <v>39800</v>
      </c>
      <c r="Q173">
        <v>40600</v>
      </c>
      <c r="R173">
        <v>41800</v>
      </c>
      <c r="S173">
        <v>49700</v>
      </c>
    </row>
    <row r="174" spans="1:19">
      <c r="A174" t="s">
        <v>400</v>
      </c>
      <c r="B174">
        <v>2943531</v>
      </c>
      <c r="C174">
        <v>2900090</v>
      </c>
      <c r="D174">
        <v>2869712</v>
      </c>
      <c r="E174">
        <v>2928085</v>
      </c>
      <c r="F174">
        <v>2853315</v>
      </c>
      <c r="G174" s="29">
        <v>2878095</v>
      </c>
      <c r="H174" s="29">
        <v>2735296</v>
      </c>
      <c r="I174" s="29">
        <v>2809967</v>
      </c>
      <c r="J174">
        <v>2772557</v>
      </c>
      <c r="K174">
        <v>2744042</v>
      </c>
      <c r="L174">
        <v>2656837</v>
      </c>
      <c r="M174">
        <v>2544483</v>
      </c>
      <c r="N174">
        <v>2864989</v>
      </c>
      <c r="O174">
        <v>2345798</v>
      </c>
      <c r="P174">
        <v>1393400</v>
      </c>
      <c r="Q174">
        <v>1181600</v>
      </c>
      <c r="R174">
        <v>1252900</v>
      </c>
      <c r="S174">
        <v>919600</v>
      </c>
    </row>
    <row r="175" spans="1:19">
      <c r="A175" t="s">
        <v>401</v>
      </c>
      <c r="B175">
        <v>4932895</v>
      </c>
      <c r="C175">
        <v>4859987</v>
      </c>
      <c r="D175">
        <v>4744426</v>
      </c>
      <c r="E175">
        <v>4799037</v>
      </c>
      <c r="F175">
        <v>4781759</v>
      </c>
      <c r="G175" s="29">
        <v>4695937</v>
      </c>
      <c r="H175" s="29">
        <v>4633227</v>
      </c>
      <c r="I175" s="29">
        <v>4840752</v>
      </c>
      <c r="J175">
        <v>4825169</v>
      </c>
      <c r="K175">
        <v>4718641</v>
      </c>
      <c r="L175">
        <v>4615589</v>
      </c>
      <c r="M175">
        <v>4477609</v>
      </c>
      <c r="N175">
        <v>4178520</v>
      </c>
      <c r="O175">
        <v>4180814</v>
      </c>
      <c r="P175">
        <v>4870400</v>
      </c>
      <c r="Q175">
        <v>5152400</v>
      </c>
      <c r="R175">
        <v>4974100</v>
      </c>
      <c r="S175">
        <v>4656400</v>
      </c>
    </row>
    <row r="176" spans="1:19">
      <c r="A176" s="24" t="s">
        <v>800</v>
      </c>
      <c r="B176" s="24"/>
      <c r="C176" s="24"/>
      <c r="G176" s="29"/>
      <c r="H176" s="29"/>
      <c r="I176" s="29"/>
      <c r="J176" t="s">
        <v>4</v>
      </c>
      <c r="K176">
        <v>21641</v>
      </c>
      <c r="L176">
        <v>8611</v>
      </c>
      <c r="M176">
        <v>2000</v>
      </c>
      <c r="N176">
        <v>0</v>
      </c>
      <c r="O176">
        <v>0</v>
      </c>
      <c r="P176">
        <v>0</v>
      </c>
      <c r="Q176">
        <v>0</v>
      </c>
      <c r="R176">
        <v>0</v>
      </c>
      <c r="S176">
        <v>0</v>
      </c>
    </row>
    <row r="177" spans="1:19">
      <c r="A177" t="s">
        <v>402</v>
      </c>
      <c r="B177">
        <v>178770</v>
      </c>
      <c r="C177">
        <v>178770</v>
      </c>
      <c r="D177">
        <v>115351</v>
      </c>
      <c r="E177">
        <v>22891</v>
      </c>
      <c r="F177">
        <v>37385</v>
      </c>
      <c r="G177" s="29">
        <v>82949</v>
      </c>
      <c r="H177" s="29">
        <v>0</v>
      </c>
      <c r="I177" s="29">
        <v>0</v>
      </c>
      <c r="J177">
        <v>129947</v>
      </c>
      <c r="K177">
        <v>199987</v>
      </c>
      <c r="L177">
        <v>274815</v>
      </c>
      <c r="M177">
        <v>279353</v>
      </c>
      <c r="N177">
        <v>227918</v>
      </c>
      <c r="O177">
        <v>171910</v>
      </c>
      <c r="P177">
        <v>273400</v>
      </c>
      <c r="Q177">
        <v>316800</v>
      </c>
      <c r="R177">
        <v>283100</v>
      </c>
      <c r="S177">
        <v>234800</v>
      </c>
    </row>
    <row r="178" spans="1:19">
      <c r="A178" t="s">
        <v>403</v>
      </c>
      <c r="B178">
        <v>102000</v>
      </c>
      <c r="C178">
        <v>145490</v>
      </c>
      <c r="D178">
        <v>47000</v>
      </c>
      <c r="E178">
        <v>43000</v>
      </c>
      <c r="F178">
        <v>46000</v>
      </c>
      <c r="G178" s="29">
        <v>47000</v>
      </c>
      <c r="H178" s="29">
        <v>5000</v>
      </c>
      <c r="I178" s="29">
        <v>18500</v>
      </c>
      <c r="J178">
        <v>46750</v>
      </c>
      <c r="K178">
        <v>31500</v>
      </c>
      <c r="L178">
        <v>137250</v>
      </c>
      <c r="M178">
        <v>90500</v>
      </c>
      <c r="N178">
        <v>100150</v>
      </c>
      <c r="O178">
        <v>130250</v>
      </c>
      <c r="P178">
        <v>0</v>
      </c>
      <c r="Q178">
        <v>0</v>
      </c>
      <c r="R178">
        <v>0</v>
      </c>
      <c r="S178">
        <v>0</v>
      </c>
    </row>
    <row r="179" spans="1:19">
      <c r="A179" s="24" t="s">
        <v>801</v>
      </c>
      <c r="B179" s="24"/>
      <c r="C179" s="24"/>
      <c r="G179" s="29"/>
      <c r="H179" s="29"/>
      <c r="I179" s="29"/>
      <c r="J179">
        <v>4000</v>
      </c>
      <c r="K179">
        <v>245250</v>
      </c>
      <c r="L179">
        <v>358600</v>
      </c>
      <c r="M179">
        <v>267000</v>
      </c>
      <c r="N179">
        <v>220500</v>
      </c>
      <c r="O179">
        <v>296000</v>
      </c>
      <c r="P179">
        <v>0</v>
      </c>
      <c r="Q179">
        <v>0</v>
      </c>
      <c r="R179">
        <v>0</v>
      </c>
      <c r="S179">
        <v>0</v>
      </c>
    </row>
    <row r="180" spans="1:19">
      <c r="A180" t="s">
        <v>404</v>
      </c>
      <c r="B180">
        <v>1105000</v>
      </c>
      <c r="C180">
        <v>1105000</v>
      </c>
      <c r="D180">
        <v>1164242</v>
      </c>
      <c r="E180">
        <v>849000</v>
      </c>
      <c r="F180">
        <v>868013</v>
      </c>
      <c r="G180" s="29">
        <v>904500</v>
      </c>
      <c r="H180" s="29">
        <v>908000</v>
      </c>
      <c r="I180" s="29">
        <v>905500</v>
      </c>
      <c r="J180">
        <v>1391219</v>
      </c>
      <c r="K180">
        <v>653467</v>
      </c>
      <c r="L180">
        <v>60500</v>
      </c>
      <c r="M180">
        <v>57000</v>
      </c>
      <c r="N180">
        <v>57000</v>
      </c>
      <c r="O180">
        <v>184393</v>
      </c>
      <c r="P180">
        <v>0</v>
      </c>
      <c r="Q180">
        <v>0</v>
      </c>
      <c r="R180">
        <v>0</v>
      </c>
      <c r="S180">
        <v>0</v>
      </c>
    </row>
    <row r="181" spans="1:19">
      <c r="A181" s="24" t="s">
        <v>802</v>
      </c>
      <c r="B181" s="24"/>
      <c r="C181" s="24"/>
      <c r="G181" s="29"/>
      <c r="H181" s="29"/>
      <c r="I181" s="29"/>
      <c r="J181">
        <v>0</v>
      </c>
      <c r="K181">
        <v>0</v>
      </c>
      <c r="L181">
        <v>0</v>
      </c>
      <c r="M181">
        <v>500</v>
      </c>
      <c r="N181">
        <v>1594350</v>
      </c>
      <c r="O181">
        <v>112875</v>
      </c>
      <c r="P181">
        <v>1092200</v>
      </c>
      <c r="Q181">
        <v>1989600</v>
      </c>
      <c r="R181">
        <v>1086900</v>
      </c>
      <c r="S181">
        <v>0</v>
      </c>
    </row>
    <row r="182" spans="1:19">
      <c r="A182" s="24" t="s">
        <v>803</v>
      </c>
      <c r="B182" s="24"/>
      <c r="C182" s="24"/>
      <c r="E182" s="29"/>
      <c r="F182" s="29"/>
      <c r="G182" s="29"/>
      <c r="H182" s="29"/>
      <c r="I182" s="29"/>
      <c r="J182">
        <v>0</v>
      </c>
      <c r="K182">
        <v>0</v>
      </c>
      <c r="L182">
        <v>0</v>
      </c>
      <c r="M182">
        <v>0</v>
      </c>
      <c r="N182">
        <v>0</v>
      </c>
      <c r="O182">
        <v>0</v>
      </c>
      <c r="P182">
        <v>641000</v>
      </c>
      <c r="Q182">
        <v>495900</v>
      </c>
      <c r="R182">
        <v>825400</v>
      </c>
      <c r="S182">
        <v>1633300</v>
      </c>
    </row>
    <row r="183" spans="1:19">
      <c r="A183" t="s">
        <v>405</v>
      </c>
      <c r="B183">
        <v>584981</v>
      </c>
      <c r="C183">
        <v>576325</v>
      </c>
      <c r="D183">
        <v>529016</v>
      </c>
      <c r="E183">
        <v>573785</v>
      </c>
      <c r="F183">
        <v>515661</v>
      </c>
      <c r="G183" s="29">
        <v>509298</v>
      </c>
      <c r="H183" s="29">
        <v>514903</v>
      </c>
      <c r="I183" s="29">
        <v>474217</v>
      </c>
      <c r="J183">
        <v>462738</v>
      </c>
      <c r="K183">
        <v>453009</v>
      </c>
      <c r="L183">
        <v>469239</v>
      </c>
      <c r="M183">
        <v>478376</v>
      </c>
      <c r="N183">
        <v>474037</v>
      </c>
      <c r="O183">
        <v>484850</v>
      </c>
      <c r="P183">
        <v>505600</v>
      </c>
      <c r="Q183">
        <v>428800</v>
      </c>
      <c r="R183">
        <v>403900</v>
      </c>
      <c r="S183">
        <v>0</v>
      </c>
    </row>
    <row r="184" spans="1:19">
      <c r="E184" s="29"/>
      <c r="F184" s="29"/>
      <c r="G184" s="29"/>
      <c r="H184" s="29"/>
    </row>
    <row r="185" spans="1:19">
      <c r="A185" s="23" t="s">
        <v>406</v>
      </c>
      <c r="B185" s="53">
        <f t="shared" ref="B185:S185" si="72">SUBTOTAL(9,B186:B189)</f>
        <v>6572392</v>
      </c>
      <c r="C185" s="53">
        <f t="shared" si="72"/>
        <v>5957392</v>
      </c>
      <c r="D185" s="53">
        <f t="shared" si="72"/>
        <v>14128</v>
      </c>
      <c r="E185" s="53">
        <f t="shared" si="72"/>
        <v>15989</v>
      </c>
      <c r="F185" s="53">
        <f t="shared" si="72"/>
        <v>17809</v>
      </c>
      <c r="G185" s="53">
        <f t="shared" si="72"/>
        <v>11618</v>
      </c>
      <c r="H185" s="53">
        <f t="shared" si="72"/>
        <v>0</v>
      </c>
      <c r="I185" s="53">
        <f t="shared" si="72"/>
        <v>115</v>
      </c>
      <c r="J185" s="23">
        <f t="shared" si="72"/>
        <v>37</v>
      </c>
      <c r="K185" s="23">
        <f t="shared" si="72"/>
        <v>13725</v>
      </c>
      <c r="L185" s="23">
        <f t="shared" si="72"/>
        <v>29482</v>
      </c>
      <c r="M185" s="23">
        <f t="shared" si="72"/>
        <v>38862</v>
      </c>
      <c r="N185" s="23">
        <f t="shared" si="72"/>
        <v>24892</v>
      </c>
      <c r="O185" s="23">
        <f t="shared" si="72"/>
        <v>0</v>
      </c>
      <c r="P185" s="23">
        <f t="shared" si="72"/>
        <v>624100</v>
      </c>
      <c r="Q185" s="23">
        <f t="shared" si="72"/>
        <v>0</v>
      </c>
      <c r="R185" s="23">
        <f t="shared" si="72"/>
        <v>0</v>
      </c>
      <c r="S185" s="23">
        <f t="shared" si="72"/>
        <v>5000</v>
      </c>
    </row>
    <row r="186" spans="1:19">
      <c r="A186" t="s">
        <v>407</v>
      </c>
      <c r="B186">
        <v>5665556</v>
      </c>
      <c r="C186">
        <v>5063930</v>
      </c>
      <c r="D186">
        <v>0</v>
      </c>
      <c r="E186">
        <v>0</v>
      </c>
      <c r="F186">
        <v>0</v>
      </c>
      <c r="G186" s="29">
        <v>0</v>
      </c>
      <c r="H186" s="29">
        <v>0</v>
      </c>
      <c r="I186" s="29">
        <v>0</v>
      </c>
      <c r="J186">
        <v>0</v>
      </c>
      <c r="K186">
        <v>0</v>
      </c>
      <c r="L186">
        <v>0</v>
      </c>
      <c r="M186">
        <v>0</v>
      </c>
      <c r="N186">
        <v>0</v>
      </c>
      <c r="O186">
        <v>0</v>
      </c>
      <c r="P186">
        <v>41700</v>
      </c>
      <c r="Q186">
        <v>0</v>
      </c>
      <c r="R186">
        <v>0</v>
      </c>
      <c r="S186">
        <v>0</v>
      </c>
    </row>
    <row r="187" spans="1:19">
      <c r="A187" t="s">
        <v>408</v>
      </c>
      <c r="G187" s="29">
        <v>0</v>
      </c>
      <c r="H187" s="29">
        <v>0</v>
      </c>
      <c r="I187" s="29">
        <v>0</v>
      </c>
      <c r="J187" t="s">
        <v>4</v>
      </c>
      <c r="K187" t="s">
        <v>4</v>
      </c>
      <c r="L187" t="s">
        <v>4</v>
      </c>
      <c r="M187">
        <v>0</v>
      </c>
      <c r="N187">
        <v>0</v>
      </c>
      <c r="O187">
        <v>0</v>
      </c>
      <c r="P187">
        <v>70500</v>
      </c>
      <c r="Q187">
        <v>0</v>
      </c>
      <c r="R187">
        <v>0</v>
      </c>
      <c r="S187">
        <v>5000</v>
      </c>
    </row>
    <row r="188" spans="1:19">
      <c r="A188" t="s">
        <v>409</v>
      </c>
      <c r="G188" s="29">
        <v>0</v>
      </c>
      <c r="H188" s="29">
        <v>0</v>
      </c>
      <c r="I188" s="29">
        <v>0</v>
      </c>
      <c r="J188" t="s">
        <v>4</v>
      </c>
      <c r="K188" t="s">
        <v>4</v>
      </c>
      <c r="L188" t="s">
        <v>4</v>
      </c>
      <c r="M188">
        <v>0</v>
      </c>
      <c r="N188">
        <v>0</v>
      </c>
      <c r="O188">
        <v>0</v>
      </c>
      <c r="P188">
        <v>511900</v>
      </c>
      <c r="Q188">
        <v>0</v>
      </c>
      <c r="R188">
        <v>0</v>
      </c>
      <c r="S188">
        <v>0</v>
      </c>
    </row>
    <row r="189" spans="1:19">
      <c r="A189" t="s">
        <v>410</v>
      </c>
      <c r="B189">
        <v>906836</v>
      </c>
      <c r="C189">
        <v>893462</v>
      </c>
      <c r="D189">
        <v>14128</v>
      </c>
      <c r="E189">
        <v>15989</v>
      </c>
      <c r="F189">
        <v>17809</v>
      </c>
      <c r="G189" s="29">
        <v>11618</v>
      </c>
      <c r="H189" s="29">
        <v>0</v>
      </c>
      <c r="I189" s="29">
        <v>115</v>
      </c>
      <c r="J189">
        <v>37</v>
      </c>
      <c r="K189">
        <v>13725</v>
      </c>
      <c r="L189">
        <v>29482</v>
      </c>
      <c r="M189">
        <v>38862</v>
      </c>
      <c r="N189">
        <v>24892</v>
      </c>
      <c r="O189">
        <v>0</v>
      </c>
      <c r="P189">
        <v>0</v>
      </c>
      <c r="Q189">
        <v>0</v>
      </c>
      <c r="R189">
        <v>0</v>
      </c>
      <c r="S189">
        <v>0</v>
      </c>
    </row>
    <row r="190" spans="1:19">
      <c r="E190" s="29"/>
      <c r="F190" s="29"/>
      <c r="G190" s="29"/>
      <c r="H190" s="29"/>
    </row>
    <row r="191" spans="1:19">
      <c r="A191" s="23" t="s">
        <v>411</v>
      </c>
      <c r="B191" s="53">
        <f t="shared" ref="B191:D191" si="73">SUBTOTAL(9,B192:B197)</f>
        <v>5276961</v>
      </c>
      <c r="C191" s="53">
        <f t="shared" si="73"/>
        <v>5198976</v>
      </c>
      <c r="D191" s="53">
        <f t="shared" si="73"/>
        <v>4048066</v>
      </c>
      <c r="E191" s="53">
        <f>SUBTOTAL(9,E192:E197)</f>
        <v>4061099</v>
      </c>
      <c r="F191" s="53">
        <f t="shared" ref="F191:S191" si="74">SUBTOTAL(9,F192:F197)</f>
        <v>3424779</v>
      </c>
      <c r="G191" s="53">
        <f t="shared" si="74"/>
        <v>3785292</v>
      </c>
      <c r="H191" s="53">
        <f t="shared" si="74"/>
        <v>3748057</v>
      </c>
      <c r="I191" s="53">
        <f t="shared" si="74"/>
        <v>4767866</v>
      </c>
      <c r="J191" s="53">
        <f t="shared" si="74"/>
        <v>3413536</v>
      </c>
      <c r="K191" s="53">
        <f t="shared" si="74"/>
        <v>3264165</v>
      </c>
      <c r="L191" s="53">
        <f t="shared" si="74"/>
        <v>3087791</v>
      </c>
      <c r="M191" s="53">
        <f t="shared" si="74"/>
        <v>3231399</v>
      </c>
      <c r="N191" s="53">
        <f t="shared" si="74"/>
        <v>3883725</v>
      </c>
      <c r="O191" s="53">
        <f t="shared" si="74"/>
        <v>3467743</v>
      </c>
      <c r="P191" s="53">
        <f t="shared" si="74"/>
        <v>3728700</v>
      </c>
      <c r="Q191" s="53">
        <f t="shared" si="74"/>
        <v>3073000</v>
      </c>
      <c r="R191" s="53">
        <f t="shared" si="74"/>
        <v>2227800</v>
      </c>
      <c r="S191" s="53">
        <f t="shared" si="74"/>
        <v>2822200</v>
      </c>
    </row>
    <row r="192" spans="1:19">
      <c r="A192" t="s">
        <v>412</v>
      </c>
      <c r="B192">
        <v>3618149</v>
      </c>
      <c r="C192">
        <v>3564679</v>
      </c>
      <c r="D192">
        <v>2926837</v>
      </c>
      <c r="E192">
        <v>2947065</v>
      </c>
      <c r="F192">
        <v>2241474</v>
      </c>
      <c r="G192" s="29">
        <v>2598251</v>
      </c>
      <c r="H192" s="29">
        <v>2816898</v>
      </c>
      <c r="I192" s="29">
        <v>3852551</v>
      </c>
      <c r="J192">
        <v>2426493</v>
      </c>
      <c r="K192">
        <v>2302824</v>
      </c>
      <c r="L192">
        <v>2313302</v>
      </c>
      <c r="M192">
        <v>2232872</v>
      </c>
      <c r="N192">
        <v>2519609</v>
      </c>
      <c r="O192">
        <v>1975856</v>
      </c>
      <c r="P192">
        <v>1938000</v>
      </c>
      <c r="Q192">
        <v>1670900</v>
      </c>
      <c r="R192">
        <v>1323500</v>
      </c>
      <c r="S192">
        <v>1842400</v>
      </c>
    </row>
    <row r="193" spans="1:19">
      <c r="A193" t="s">
        <v>413</v>
      </c>
      <c r="B193">
        <v>35616</v>
      </c>
      <c r="C193">
        <v>35090</v>
      </c>
      <c r="D193">
        <v>1535</v>
      </c>
      <c r="E193">
        <v>3357</v>
      </c>
      <c r="F193">
        <v>15595</v>
      </c>
      <c r="G193" s="29">
        <v>5475</v>
      </c>
      <c r="H193" s="29">
        <v>11112</v>
      </c>
      <c r="I193" s="29">
        <v>472</v>
      </c>
      <c r="J193" t="s">
        <v>4</v>
      </c>
      <c r="K193" t="s">
        <v>4</v>
      </c>
      <c r="L193" t="s">
        <v>4</v>
      </c>
      <c r="M193">
        <v>0</v>
      </c>
      <c r="N193">
        <v>0</v>
      </c>
      <c r="O193">
        <v>0</v>
      </c>
      <c r="P193">
        <v>1149200</v>
      </c>
      <c r="Q193">
        <v>1044700</v>
      </c>
      <c r="R193">
        <v>846400</v>
      </c>
      <c r="S193">
        <v>958800</v>
      </c>
    </row>
    <row r="194" spans="1:19">
      <c r="A194" t="s">
        <v>414</v>
      </c>
      <c r="F194">
        <v>0</v>
      </c>
      <c r="G194" s="29">
        <v>0</v>
      </c>
      <c r="H194" s="29">
        <v>225</v>
      </c>
      <c r="I194" s="29">
        <v>501</v>
      </c>
      <c r="J194">
        <v>360</v>
      </c>
      <c r="K194" t="s">
        <v>4</v>
      </c>
      <c r="L194" t="s">
        <v>4</v>
      </c>
      <c r="M194">
        <v>0</v>
      </c>
      <c r="N194">
        <v>0</v>
      </c>
      <c r="O194">
        <v>0</v>
      </c>
      <c r="P194">
        <v>0</v>
      </c>
      <c r="Q194">
        <v>0</v>
      </c>
      <c r="R194">
        <v>0</v>
      </c>
      <c r="S194">
        <v>0</v>
      </c>
    </row>
    <row r="195" spans="1:19">
      <c r="A195" t="s">
        <v>415</v>
      </c>
      <c r="B195">
        <v>1060646</v>
      </c>
      <c r="C195">
        <v>1044971</v>
      </c>
      <c r="D195">
        <v>301597</v>
      </c>
      <c r="E195">
        <v>246363</v>
      </c>
      <c r="F195">
        <v>305537</v>
      </c>
      <c r="G195" s="29">
        <v>332346</v>
      </c>
      <c r="H195" s="29">
        <v>287506</v>
      </c>
      <c r="I195" s="29">
        <v>212989</v>
      </c>
      <c r="J195">
        <v>212902</v>
      </c>
      <c r="K195">
        <v>231616</v>
      </c>
      <c r="L195">
        <v>255062</v>
      </c>
      <c r="M195">
        <v>354333</v>
      </c>
      <c r="N195">
        <v>889599</v>
      </c>
      <c r="O195">
        <v>854999</v>
      </c>
      <c r="P195">
        <v>0</v>
      </c>
      <c r="Q195">
        <v>0</v>
      </c>
      <c r="R195">
        <v>0</v>
      </c>
      <c r="S195">
        <v>0</v>
      </c>
    </row>
    <row r="196" spans="1:19">
      <c r="A196" t="s">
        <v>416</v>
      </c>
      <c r="B196">
        <v>0</v>
      </c>
      <c r="C196">
        <v>0</v>
      </c>
      <c r="D196">
        <v>22053</v>
      </c>
      <c r="E196">
        <v>5280</v>
      </c>
      <c r="F196">
        <v>76746</v>
      </c>
      <c r="G196" s="29">
        <v>5824</v>
      </c>
      <c r="H196" s="29">
        <v>47867</v>
      </c>
      <c r="I196" s="29">
        <v>0</v>
      </c>
      <c r="J196">
        <v>45664</v>
      </c>
      <c r="K196" t="s">
        <v>4</v>
      </c>
      <c r="L196">
        <v>2933</v>
      </c>
      <c r="M196">
        <v>0</v>
      </c>
      <c r="N196">
        <v>0</v>
      </c>
      <c r="O196">
        <v>0</v>
      </c>
      <c r="P196">
        <v>17600</v>
      </c>
      <c r="Q196">
        <v>0</v>
      </c>
      <c r="R196">
        <v>0</v>
      </c>
      <c r="S196">
        <v>0</v>
      </c>
    </row>
    <row r="197" spans="1:19">
      <c r="A197" t="s">
        <v>417</v>
      </c>
      <c r="B197">
        <v>562550</v>
      </c>
      <c r="C197">
        <v>554236</v>
      </c>
      <c r="D197">
        <v>796044</v>
      </c>
      <c r="E197">
        <v>859034</v>
      </c>
      <c r="F197">
        <v>785427</v>
      </c>
      <c r="G197" s="29">
        <v>843396</v>
      </c>
      <c r="H197" s="29">
        <v>584449</v>
      </c>
      <c r="I197" s="29">
        <v>701353</v>
      </c>
      <c r="J197">
        <v>728117</v>
      </c>
      <c r="K197">
        <v>729725</v>
      </c>
      <c r="L197">
        <v>516494</v>
      </c>
      <c r="M197">
        <v>644194</v>
      </c>
      <c r="N197">
        <v>474517</v>
      </c>
      <c r="O197">
        <v>636888</v>
      </c>
      <c r="P197">
        <v>623900</v>
      </c>
      <c r="Q197">
        <v>357400</v>
      </c>
      <c r="R197">
        <v>57900</v>
      </c>
      <c r="S197">
        <v>21000</v>
      </c>
    </row>
    <row r="198" spans="1:19">
      <c r="E198" s="29"/>
      <c r="F198" s="29"/>
      <c r="G198" s="29"/>
      <c r="H198" s="29"/>
    </row>
    <row r="199" spans="1:19">
      <c r="A199" s="23" t="s">
        <v>418</v>
      </c>
      <c r="B199" s="53">
        <f t="shared" ref="B199:S199" si="75">SUBTOTAL(9,B200:B204)</f>
        <v>4020127</v>
      </c>
      <c r="C199" s="53">
        <f t="shared" si="75"/>
        <v>4020067</v>
      </c>
      <c r="D199" s="23">
        <f t="shared" si="75"/>
        <v>4377156</v>
      </c>
      <c r="E199" s="23">
        <f t="shared" si="75"/>
        <v>4546074</v>
      </c>
      <c r="F199" s="23">
        <f t="shared" si="75"/>
        <v>4414561</v>
      </c>
      <c r="G199" s="23">
        <f t="shared" si="75"/>
        <v>4200247</v>
      </c>
      <c r="H199" s="23">
        <f t="shared" si="75"/>
        <v>4122941</v>
      </c>
      <c r="I199" s="23">
        <f t="shared" si="75"/>
        <v>4104833</v>
      </c>
      <c r="J199" s="23">
        <f t="shared" si="75"/>
        <v>4082769</v>
      </c>
      <c r="K199" s="23">
        <f t="shared" si="75"/>
        <v>3894764</v>
      </c>
      <c r="L199" s="23">
        <f t="shared" si="75"/>
        <v>3645598</v>
      </c>
      <c r="M199" s="23">
        <f t="shared" si="75"/>
        <v>3538340</v>
      </c>
      <c r="N199" s="23">
        <f t="shared" si="75"/>
        <v>2439406</v>
      </c>
      <c r="O199" s="23">
        <f t="shared" si="75"/>
        <v>2303497</v>
      </c>
      <c r="P199" s="23">
        <f t="shared" si="75"/>
        <v>2233300</v>
      </c>
      <c r="Q199" s="23">
        <f t="shared" si="75"/>
        <v>2084699.9999999998</v>
      </c>
      <c r="R199" s="23">
        <f t="shared" si="75"/>
        <v>2534100</v>
      </c>
      <c r="S199" s="23">
        <f t="shared" si="75"/>
        <v>2110300</v>
      </c>
    </row>
    <row r="200" spans="1:19">
      <c r="A200" t="s">
        <v>419</v>
      </c>
      <c r="B200">
        <v>2965360</v>
      </c>
      <c r="C200">
        <v>2965300</v>
      </c>
      <c r="D200">
        <v>2957664</v>
      </c>
      <c r="E200">
        <v>3162866</v>
      </c>
      <c r="F200">
        <v>3028040</v>
      </c>
      <c r="G200" s="29">
        <v>2836626</v>
      </c>
      <c r="H200" s="29">
        <v>2807463</v>
      </c>
      <c r="I200" s="29">
        <v>2749276</v>
      </c>
      <c r="J200">
        <v>2695304</v>
      </c>
      <c r="K200">
        <v>2508172</v>
      </c>
      <c r="L200">
        <v>2333866</v>
      </c>
      <c r="M200">
        <v>2235813</v>
      </c>
      <c r="N200">
        <v>1226401</v>
      </c>
      <c r="O200">
        <v>1179849</v>
      </c>
      <c r="P200">
        <v>0</v>
      </c>
      <c r="Q200">
        <v>0</v>
      </c>
      <c r="R200">
        <v>0</v>
      </c>
      <c r="S200">
        <v>0</v>
      </c>
    </row>
    <row r="201" spans="1:19">
      <c r="A201" t="s">
        <v>420</v>
      </c>
      <c r="B201">
        <v>944367</v>
      </c>
      <c r="C201">
        <v>944367</v>
      </c>
      <c r="D201">
        <v>1401422</v>
      </c>
      <c r="E201">
        <v>1362576</v>
      </c>
      <c r="F201">
        <v>1357954</v>
      </c>
      <c r="G201" s="29">
        <v>1315039</v>
      </c>
      <c r="H201" s="29">
        <v>1270057</v>
      </c>
      <c r="I201" s="29">
        <v>1321981</v>
      </c>
      <c r="J201">
        <v>1358066</v>
      </c>
      <c r="K201">
        <v>1349574</v>
      </c>
      <c r="L201">
        <v>1290568</v>
      </c>
      <c r="M201">
        <v>1268628</v>
      </c>
      <c r="N201">
        <v>1113832</v>
      </c>
      <c r="O201">
        <v>1071169</v>
      </c>
      <c r="P201">
        <v>0</v>
      </c>
      <c r="Q201">
        <v>0</v>
      </c>
      <c r="R201">
        <v>0</v>
      </c>
      <c r="S201">
        <v>0</v>
      </c>
    </row>
    <row r="202" spans="1:19">
      <c r="A202" t="s">
        <v>421</v>
      </c>
      <c r="B202">
        <v>110400</v>
      </c>
      <c r="C202">
        <v>110400</v>
      </c>
      <c r="D202">
        <v>18070</v>
      </c>
      <c r="E202">
        <v>20632</v>
      </c>
      <c r="F202">
        <v>28567</v>
      </c>
      <c r="G202" s="29">
        <v>48582</v>
      </c>
      <c r="H202" s="29">
        <v>45421</v>
      </c>
      <c r="I202" s="29">
        <v>33576</v>
      </c>
      <c r="J202">
        <v>29369</v>
      </c>
      <c r="K202">
        <v>37018</v>
      </c>
      <c r="L202">
        <v>21164</v>
      </c>
      <c r="M202">
        <v>33899</v>
      </c>
      <c r="N202">
        <v>30131</v>
      </c>
      <c r="O202">
        <v>21404</v>
      </c>
      <c r="P202">
        <v>0</v>
      </c>
      <c r="Q202">
        <v>0</v>
      </c>
      <c r="R202">
        <v>0</v>
      </c>
      <c r="S202">
        <v>0</v>
      </c>
    </row>
    <row r="203" spans="1:19">
      <c r="A203" s="24" t="s">
        <v>804</v>
      </c>
      <c r="B203" s="24"/>
      <c r="C203" s="24"/>
      <c r="E203" s="29"/>
      <c r="F203" s="29"/>
      <c r="G203" s="29"/>
      <c r="H203" s="29"/>
      <c r="I203" s="29"/>
      <c r="J203" t="s">
        <v>4</v>
      </c>
      <c r="K203" t="s">
        <v>4</v>
      </c>
      <c r="L203" t="s">
        <v>4</v>
      </c>
      <c r="M203">
        <v>0</v>
      </c>
      <c r="N203">
        <v>69042</v>
      </c>
      <c r="O203">
        <v>29626</v>
      </c>
      <c r="P203">
        <v>2233300</v>
      </c>
      <c r="Q203">
        <v>2084699.9999999998</v>
      </c>
      <c r="R203">
        <v>2534100</v>
      </c>
      <c r="S203">
        <v>2110300</v>
      </c>
    </row>
    <row r="204" spans="1:19">
      <c r="A204" s="24" t="s">
        <v>805</v>
      </c>
      <c r="B204" s="24"/>
      <c r="C204" s="24"/>
      <c r="E204" s="29"/>
      <c r="F204" s="29"/>
      <c r="G204" s="29"/>
      <c r="H204" s="29"/>
      <c r="I204" s="29"/>
      <c r="J204">
        <v>30</v>
      </c>
      <c r="K204" t="s">
        <v>4</v>
      </c>
      <c r="L204" t="s">
        <v>4</v>
      </c>
      <c r="M204">
        <v>0</v>
      </c>
      <c r="N204">
        <v>0</v>
      </c>
      <c r="O204">
        <v>1449</v>
      </c>
      <c r="P204">
        <v>0</v>
      </c>
      <c r="Q204">
        <v>0</v>
      </c>
      <c r="R204">
        <v>0</v>
      </c>
      <c r="S204">
        <v>0</v>
      </c>
    </row>
    <row r="205" spans="1:19">
      <c r="A205" s="24"/>
      <c r="B205" s="24"/>
      <c r="C205" s="24"/>
      <c r="E205" s="29"/>
      <c r="F205" s="29"/>
      <c r="G205" s="29"/>
      <c r="H205" s="29"/>
      <c r="I205" s="29"/>
    </row>
    <row r="206" spans="1:19">
      <c r="A206" s="23" t="s">
        <v>997</v>
      </c>
      <c r="B206" s="53">
        <f t="shared" ref="B206:I206" si="76">SUBTOTAL(9,B207:B208)</f>
        <v>-10000988</v>
      </c>
      <c r="C206" s="53">
        <f t="shared" si="76"/>
        <v>-9026012</v>
      </c>
      <c r="D206" s="53">
        <f t="shared" si="76"/>
        <v>-10191929</v>
      </c>
      <c r="E206" s="53">
        <f t="shared" si="76"/>
        <v>-10198241</v>
      </c>
      <c r="F206" s="53">
        <f t="shared" si="76"/>
        <v>-10406819</v>
      </c>
      <c r="G206" s="53">
        <f t="shared" si="76"/>
        <v>-9714513</v>
      </c>
      <c r="H206" s="53">
        <f t="shared" si="76"/>
        <v>-7745508</v>
      </c>
      <c r="I206" s="53">
        <f t="shared" si="76"/>
        <v>-6775452</v>
      </c>
      <c r="J206" s="23">
        <f t="shared" ref="J206:S206" si="77">SUBTOTAL(9,J207:J207)</f>
        <v>-8958241</v>
      </c>
      <c r="K206" s="23">
        <f t="shared" si="77"/>
        <v>-7162277</v>
      </c>
      <c r="L206" s="23">
        <f t="shared" si="77"/>
        <v>-7196456</v>
      </c>
      <c r="M206" s="23">
        <f t="shared" si="77"/>
        <v>-6449819</v>
      </c>
      <c r="N206" s="23">
        <f t="shared" si="77"/>
        <v>-5614592</v>
      </c>
      <c r="O206" s="23">
        <f t="shared" si="77"/>
        <v>-5853923</v>
      </c>
      <c r="P206" s="23">
        <f t="shared" si="77"/>
        <v>-6258800</v>
      </c>
      <c r="Q206" s="23">
        <f t="shared" si="77"/>
        <v>-5303500</v>
      </c>
      <c r="R206" s="23">
        <f t="shared" si="77"/>
        <v>-5633500</v>
      </c>
      <c r="S206" s="23">
        <f t="shared" si="77"/>
        <v>-4364600</v>
      </c>
    </row>
    <row r="207" spans="1:19">
      <c r="A207" t="s">
        <v>984</v>
      </c>
      <c r="B207" s="43">
        <v>-9040167</v>
      </c>
      <c r="C207">
        <v>-8215191</v>
      </c>
      <c r="D207">
        <v>-9407735</v>
      </c>
      <c r="E207">
        <v>-9297760</v>
      </c>
      <c r="F207">
        <v>-9424037</v>
      </c>
      <c r="G207" s="29">
        <v>-9122462</v>
      </c>
      <c r="H207" s="29">
        <v>-7745508</v>
      </c>
      <c r="I207" s="29">
        <v>-6775452</v>
      </c>
      <c r="J207">
        <v>-8958241</v>
      </c>
      <c r="K207">
        <v>-7162277</v>
      </c>
      <c r="L207">
        <v>-7196456</v>
      </c>
      <c r="M207">
        <v>-6449819</v>
      </c>
      <c r="N207">
        <v>-5614592</v>
      </c>
      <c r="O207">
        <v>-5853923</v>
      </c>
      <c r="P207">
        <v>-6258800</v>
      </c>
      <c r="Q207">
        <v>-5303500</v>
      </c>
      <c r="R207">
        <v>-5633500</v>
      </c>
      <c r="S207">
        <v>-4364600</v>
      </c>
    </row>
    <row r="208" spans="1:19">
      <c r="A208" s="24" t="s">
        <v>422</v>
      </c>
      <c r="B208" s="24">
        <v>-960821</v>
      </c>
      <c r="C208" s="24">
        <v>-810821</v>
      </c>
      <c r="D208">
        <v>-784194</v>
      </c>
      <c r="E208">
        <v>-900481</v>
      </c>
      <c r="F208">
        <v>-982782</v>
      </c>
      <c r="G208" s="29">
        <v>-592051</v>
      </c>
      <c r="H208" s="29">
        <v>0</v>
      </c>
      <c r="I208" s="29">
        <v>0</v>
      </c>
      <c r="J208" s="24"/>
      <c r="K208" s="24"/>
      <c r="L208" s="24"/>
      <c r="M208" s="24"/>
      <c r="N208" s="24"/>
      <c r="O208" s="24"/>
      <c r="P208" s="24"/>
      <c r="Q208" s="24"/>
      <c r="R208" s="24"/>
      <c r="S208" s="24"/>
    </row>
    <row r="209" spans="1:19">
      <c r="A209" s="33"/>
      <c r="B209" s="33"/>
      <c r="C209" s="33"/>
      <c r="D209" s="34"/>
      <c r="E209" s="34"/>
      <c r="F209" s="34"/>
      <c r="G209" s="34"/>
      <c r="H209" s="34"/>
      <c r="I209" s="35"/>
      <c r="J209" s="33"/>
      <c r="K209" s="33"/>
      <c r="L209" s="33"/>
      <c r="M209" s="33"/>
      <c r="N209" s="33"/>
      <c r="O209" s="33"/>
      <c r="P209" s="33"/>
      <c r="Q209" s="33"/>
      <c r="R209" s="33"/>
      <c r="S209" s="33"/>
    </row>
    <row r="210" spans="1:19">
      <c r="A210" s="23" t="s">
        <v>423</v>
      </c>
      <c r="B210" s="53">
        <f t="shared" ref="B210:S210" si="78">SUBTOTAL(9,B212:B245)</f>
        <v>728232071</v>
      </c>
      <c r="C210" s="53">
        <f t="shared" si="78"/>
        <v>679328640</v>
      </c>
      <c r="D210" s="53">
        <f t="shared" si="78"/>
        <v>656923234</v>
      </c>
      <c r="E210" s="53">
        <f t="shared" si="78"/>
        <v>615242813</v>
      </c>
      <c r="F210" s="53">
        <f t="shared" si="78"/>
        <v>618234459</v>
      </c>
      <c r="G210" s="53">
        <f t="shared" si="78"/>
        <v>528997057</v>
      </c>
      <c r="H210" s="53">
        <f t="shared" si="78"/>
        <v>476814440</v>
      </c>
      <c r="I210" s="53">
        <f t="shared" si="78"/>
        <v>461990456</v>
      </c>
      <c r="J210" s="23">
        <f t="shared" si="78"/>
        <v>504765019</v>
      </c>
      <c r="K210" s="23">
        <f t="shared" si="78"/>
        <v>497119248</v>
      </c>
      <c r="L210" s="23">
        <f t="shared" si="78"/>
        <v>447052195</v>
      </c>
      <c r="M210" s="23">
        <f t="shared" si="78"/>
        <v>379596603</v>
      </c>
      <c r="N210" s="23">
        <f t="shared" si="78"/>
        <v>342847897</v>
      </c>
      <c r="O210" s="23">
        <f t="shared" si="78"/>
        <v>279490005</v>
      </c>
      <c r="P210" s="23">
        <f t="shared" si="78"/>
        <v>253496500</v>
      </c>
      <c r="Q210" s="23">
        <f t="shared" si="78"/>
        <v>223910800</v>
      </c>
      <c r="R210" s="23">
        <f t="shared" si="78"/>
        <v>235208600</v>
      </c>
      <c r="S210" s="23">
        <f t="shared" si="78"/>
        <v>231576600</v>
      </c>
    </row>
    <row r="211" spans="1:19">
      <c r="A211" s="23"/>
      <c r="B211" s="23"/>
      <c r="C211" s="23"/>
      <c r="E211" s="29"/>
      <c r="F211" s="29"/>
      <c r="G211" s="29"/>
      <c r="H211" s="29"/>
      <c r="J211" s="23"/>
      <c r="K211" s="23"/>
      <c r="L211" s="23"/>
      <c r="M211" s="23"/>
      <c r="N211" s="23"/>
      <c r="O211" s="23"/>
      <c r="P211" s="23"/>
      <c r="Q211" s="23"/>
      <c r="R211" s="23"/>
      <c r="S211" s="23"/>
    </row>
    <row r="212" spans="1:19">
      <c r="A212" s="23" t="s">
        <v>424</v>
      </c>
      <c r="B212" s="53">
        <f t="shared" ref="B212:S212" si="79">SUBTOTAL(9,B213:B217)</f>
        <v>351465875</v>
      </c>
      <c r="C212" s="53">
        <f t="shared" si="79"/>
        <v>324079015</v>
      </c>
      <c r="D212" s="53">
        <f t="shared" si="79"/>
        <v>305995048</v>
      </c>
      <c r="E212" s="53">
        <f t="shared" si="79"/>
        <v>268106109</v>
      </c>
      <c r="F212" s="53">
        <f t="shared" si="79"/>
        <v>287800200</v>
      </c>
      <c r="G212" s="53">
        <f t="shared" si="79"/>
        <v>219728998</v>
      </c>
      <c r="H212" s="53">
        <f t="shared" si="79"/>
        <v>176646797</v>
      </c>
      <c r="I212" s="53">
        <f t="shared" si="79"/>
        <v>190041246</v>
      </c>
      <c r="J212" s="23">
        <f t="shared" si="79"/>
        <v>227870144</v>
      </c>
      <c r="K212" s="23">
        <f t="shared" si="79"/>
        <v>231800216</v>
      </c>
      <c r="L212" s="23">
        <f t="shared" si="79"/>
        <v>197437994</v>
      </c>
      <c r="M212" s="23">
        <f t="shared" si="79"/>
        <v>155667938</v>
      </c>
      <c r="N212" s="23">
        <f t="shared" si="79"/>
        <v>135276072</v>
      </c>
      <c r="O212" s="23">
        <f t="shared" si="79"/>
        <v>91430669</v>
      </c>
      <c r="P212" s="23">
        <f t="shared" si="79"/>
        <v>84209000</v>
      </c>
      <c r="Q212" s="23">
        <f t="shared" si="79"/>
        <v>67077500</v>
      </c>
      <c r="R212" s="23">
        <f t="shared" si="79"/>
        <v>94246100</v>
      </c>
      <c r="S212" s="23">
        <f t="shared" si="79"/>
        <v>105256800</v>
      </c>
    </row>
    <row r="213" spans="1:19">
      <c r="A213" t="s">
        <v>425</v>
      </c>
      <c r="B213">
        <v>213062795</v>
      </c>
      <c r="C213">
        <v>193539287</v>
      </c>
      <c r="D213">
        <v>186594790</v>
      </c>
      <c r="E213">
        <v>149323730</v>
      </c>
      <c r="F213">
        <v>177504995</v>
      </c>
      <c r="G213" s="29">
        <v>134147231</v>
      </c>
      <c r="H213" s="29">
        <v>101006083</v>
      </c>
      <c r="I213" s="29">
        <v>129030838</v>
      </c>
      <c r="J213">
        <v>160511257</v>
      </c>
      <c r="K213">
        <v>166211577</v>
      </c>
      <c r="L213">
        <v>142532005</v>
      </c>
      <c r="M213">
        <v>104437458</v>
      </c>
      <c r="N213">
        <v>87658195</v>
      </c>
      <c r="O213">
        <v>41013772</v>
      </c>
      <c r="P213">
        <v>40047600</v>
      </c>
      <c r="Q213">
        <v>30018500</v>
      </c>
      <c r="R213">
        <v>58845200</v>
      </c>
      <c r="S213">
        <v>64255600</v>
      </c>
    </row>
    <row r="214" spans="1:19">
      <c r="A214" t="s">
        <v>426</v>
      </c>
      <c r="B214">
        <v>80439794</v>
      </c>
      <c r="C214">
        <v>77085349</v>
      </c>
      <c r="D214">
        <v>71883651</v>
      </c>
      <c r="E214">
        <v>71699933</v>
      </c>
      <c r="F214">
        <v>65369629</v>
      </c>
      <c r="G214" s="29">
        <v>51056005</v>
      </c>
      <c r="H214" s="29">
        <v>45343821</v>
      </c>
      <c r="I214" s="29">
        <v>36217362</v>
      </c>
      <c r="J214">
        <v>38538426</v>
      </c>
      <c r="K214">
        <v>37073327</v>
      </c>
      <c r="L214">
        <v>35386882</v>
      </c>
      <c r="M214">
        <v>33485844</v>
      </c>
      <c r="N214">
        <v>31159909</v>
      </c>
      <c r="O214">
        <v>36066745</v>
      </c>
      <c r="P214">
        <v>35686700</v>
      </c>
      <c r="Q214">
        <v>30068200</v>
      </c>
      <c r="R214">
        <v>28475800</v>
      </c>
      <c r="S214">
        <v>34970800</v>
      </c>
    </row>
    <row r="215" spans="1:19">
      <c r="A215" t="s">
        <v>427</v>
      </c>
      <c r="B215">
        <v>41874089</v>
      </c>
      <c r="C215">
        <v>38838224</v>
      </c>
      <c r="D215">
        <v>33838242</v>
      </c>
      <c r="E215">
        <v>32894076</v>
      </c>
      <c r="F215">
        <v>31198509</v>
      </c>
      <c r="G215" s="29">
        <v>27373536</v>
      </c>
      <c r="H215" s="29">
        <v>23457908</v>
      </c>
      <c r="I215" s="29">
        <v>16250353</v>
      </c>
      <c r="J215">
        <v>16201757</v>
      </c>
      <c r="K215">
        <v>15496553</v>
      </c>
      <c r="L215">
        <v>14227317</v>
      </c>
      <c r="M215">
        <v>12068268</v>
      </c>
      <c r="N215">
        <v>11117579</v>
      </c>
      <c r="O215">
        <v>8188087</v>
      </c>
      <c r="P215">
        <v>8444800</v>
      </c>
      <c r="Q215">
        <v>6990800</v>
      </c>
      <c r="R215">
        <v>6925100</v>
      </c>
      <c r="S215">
        <v>6030400</v>
      </c>
    </row>
    <row r="216" spans="1:19">
      <c r="A216" s="24" t="s">
        <v>958</v>
      </c>
      <c r="B216" s="24">
        <v>25000</v>
      </c>
      <c r="C216" s="24">
        <v>25000</v>
      </c>
      <c r="D216">
        <v>22100</v>
      </c>
      <c r="E216">
        <v>21675</v>
      </c>
      <c r="F216">
        <v>0</v>
      </c>
      <c r="G216" s="29"/>
      <c r="H216" s="29"/>
      <c r="I216" s="29"/>
    </row>
    <row r="217" spans="1:19">
      <c r="A217" t="s">
        <v>428</v>
      </c>
      <c r="B217">
        <v>16064197</v>
      </c>
      <c r="C217">
        <v>14591155</v>
      </c>
      <c r="D217">
        <v>13656265</v>
      </c>
      <c r="E217">
        <v>14166695</v>
      </c>
      <c r="F217">
        <v>13727067</v>
      </c>
      <c r="G217" s="29">
        <v>7152226</v>
      </c>
      <c r="H217" s="29">
        <v>6838985</v>
      </c>
      <c r="I217" s="29">
        <v>8542693</v>
      </c>
      <c r="J217">
        <v>12618704</v>
      </c>
      <c r="K217">
        <v>13018759</v>
      </c>
      <c r="L217">
        <v>5291790</v>
      </c>
      <c r="M217">
        <v>5676368</v>
      </c>
      <c r="N217">
        <v>5340389</v>
      </c>
      <c r="O217">
        <v>6162065</v>
      </c>
      <c r="P217">
        <v>29900</v>
      </c>
      <c r="Q217">
        <v>0</v>
      </c>
      <c r="R217">
        <v>0</v>
      </c>
      <c r="S217">
        <v>0</v>
      </c>
    </row>
    <row r="218" spans="1:19">
      <c r="E218" s="29"/>
      <c r="F218" s="29"/>
      <c r="G218" s="29"/>
      <c r="H218" s="29"/>
      <c r="I218" s="29"/>
    </row>
    <row r="219" spans="1:19">
      <c r="A219" s="23" t="s">
        <v>429</v>
      </c>
      <c r="B219" s="53">
        <f t="shared" ref="B219:S219" si="80">SUBTOTAL(9,B220:B220)</f>
        <v>124058651</v>
      </c>
      <c r="C219" s="53">
        <f t="shared" si="80"/>
        <v>119534420</v>
      </c>
      <c r="D219" s="53">
        <f t="shared" si="80"/>
        <v>112885662</v>
      </c>
      <c r="E219" s="53">
        <f t="shared" si="80"/>
        <v>112746431</v>
      </c>
      <c r="F219" s="53">
        <f t="shared" si="80"/>
        <v>108536316</v>
      </c>
      <c r="G219" s="53">
        <f t="shared" si="80"/>
        <v>105026291</v>
      </c>
      <c r="H219" s="53">
        <f t="shared" si="80"/>
        <v>100711557</v>
      </c>
      <c r="I219" s="53">
        <f t="shared" si="80"/>
        <v>102321282</v>
      </c>
      <c r="J219" s="23">
        <f t="shared" si="80"/>
        <v>103854680</v>
      </c>
      <c r="K219" s="23">
        <f t="shared" si="80"/>
        <v>100613426</v>
      </c>
      <c r="L219" s="23">
        <f t="shared" si="80"/>
        <v>96611923</v>
      </c>
      <c r="M219" s="23">
        <f t="shared" si="80"/>
        <v>92325490</v>
      </c>
      <c r="N219" s="23">
        <f t="shared" si="80"/>
        <v>86944169</v>
      </c>
      <c r="O219" s="23">
        <f t="shared" si="80"/>
        <v>83005592</v>
      </c>
      <c r="P219" s="23">
        <f t="shared" si="80"/>
        <v>84264000</v>
      </c>
      <c r="Q219" s="23">
        <f t="shared" si="80"/>
        <v>76066400</v>
      </c>
      <c r="R219" s="23">
        <f t="shared" si="80"/>
        <v>71111100</v>
      </c>
      <c r="S219" s="23">
        <f t="shared" si="80"/>
        <v>64157200</v>
      </c>
    </row>
    <row r="220" spans="1:19">
      <c r="A220" t="s">
        <v>188</v>
      </c>
      <c r="B220">
        <v>124058651</v>
      </c>
      <c r="C220">
        <v>119534420</v>
      </c>
      <c r="D220">
        <v>112885662</v>
      </c>
      <c r="E220">
        <v>112746431</v>
      </c>
      <c r="F220">
        <v>108536316</v>
      </c>
      <c r="G220" s="29">
        <v>105026291</v>
      </c>
      <c r="H220" s="29">
        <v>100711557</v>
      </c>
      <c r="I220" s="29">
        <v>102321282</v>
      </c>
      <c r="J220">
        <v>103854680</v>
      </c>
      <c r="K220">
        <v>100613426</v>
      </c>
      <c r="L220">
        <v>96611923</v>
      </c>
      <c r="M220">
        <v>92325490</v>
      </c>
      <c r="N220">
        <v>86944169</v>
      </c>
      <c r="O220">
        <v>83005592</v>
      </c>
      <c r="P220">
        <v>84264000</v>
      </c>
      <c r="Q220">
        <v>76066400</v>
      </c>
      <c r="R220">
        <v>71111100</v>
      </c>
      <c r="S220">
        <v>64157200</v>
      </c>
    </row>
    <row r="221" spans="1:19">
      <c r="E221" s="29"/>
      <c r="F221" s="29"/>
      <c r="G221" s="29"/>
      <c r="H221" s="29"/>
      <c r="I221" s="29"/>
    </row>
    <row r="222" spans="1:19">
      <c r="A222" s="23" t="s">
        <v>430</v>
      </c>
      <c r="B222" s="53">
        <f t="shared" ref="B222:D222" si="81">SUBTOTAL(9,B223:B224)</f>
        <v>14276689</v>
      </c>
      <c r="C222" s="53">
        <f t="shared" si="81"/>
        <v>13760658</v>
      </c>
      <c r="D222" s="53">
        <f t="shared" si="81"/>
        <v>12965140</v>
      </c>
      <c r="E222" s="53">
        <f>SUBTOTAL(9,E223:E224)</f>
        <v>12774027</v>
      </c>
      <c r="F222" s="53">
        <f t="shared" ref="F222:S222" si="82">SUBTOTAL(9,F223:F224)</f>
        <v>12275218</v>
      </c>
      <c r="G222" s="53">
        <f t="shared" si="82"/>
        <v>4816527</v>
      </c>
      <c r="H222" s="53">
        <f t="shared" si="82"/>
        <v>4231247</v>
      </c>
      <c r="I222" s="53">
        <f t="shared" si="82"/>
        <v>5536322</v>
      </c>
      <c r="J222" s="53">
        <f t="shared" si="82"/>
        <v>7844054</v>
      </c>
      <c r="K222" s="53">
        <f t="shared" si="82"/>
        <v>8997793</v>
      </c>
      <c r="L222" s="53">
        <f t="shared" si="82"/>
        <v>9624578</v>
      </c>
      <c r="M222" s="53">
        <f t="shared" si="82"/>
        <v>634342</v>
      </c>
      <c r="N222" s="53">
        <f t="shared" si="82"/>
        <v>687380</v>
      </c>
      <c r="O222" s="53">
        <f t="shared" si="82"/>
        <v>631748</v>
      </c>
      <c r="P222" s="53">
        <f t="shared" si="82"/>
        <v>564800</v>
      </c>
      <c r="Q222" s="53">
        <f t="shared" si="82"/>
        <v>4040800</v>
      </c>
      <c r="R222" s="53">
        <f t="shared" si="82"/>
        <v>5093800</v>
      </c>
      <c r="S222" s="53">
        <f t="shared" si="82"/>
        <v>425200</v>
      </c>
    </row>
    <row r="223" spans="1:19">
      <c r="A223" t="s">
        <v>431</v>
      </c>
      <c r="B223">
        <v>12428743</v>
      </c>
      <c r="C223">
        <v>11975760</v>
      </c>
      <c r="D223">
        <v>11141365</v>
      </c>
      <c r="E223">
        <v>11149359</v>
      </c>
      <c r="F223">
        <v>10756504</v>
      </c>
      <c r="G223" s="29">
        <v>3337280</v>
      </c>
      <c r="H223" s="29">
        <v>3192231</v>
      </c>
      <c r="I223" s="29">
        <v>4690337</v>
      </c>
      <c r="J223">
        <v>6986230</v>
      </c>
      <c r="K223">
        <v>8246266</v>
      </c>
      <c r="L223">
        <v>8954514</v>
      </c>
      <c r="M223">
        <v>0</v>
      </c>
      <c r="N223">
        <v>0</v>
      </c>
      <c r="O223">
        <v>-86</v>
      </c>
      <c r="P223">
        <v>0</v>
      </c>
      <c r="Q223">
        <v>3461500</v>
      </c>
      <c r="R223">
        <v>4537100</v>
      </c>
      <c r="S223">
        <v>0</v>
      </c>
    </row>
    <row r="224" spans="1:19">
      <c r="A224" t="s">
        <v>432</v>
      </c>
      <c r="B224">
        <v>1847946</v>
      </c>
      <c r="C224">
        <v>1784898</v>
      </c>
      <c r="D224">
        <v>1823775</v>
      </c>
      <c r="E224">
        <v>1624668</v>
      </c>
      <c r="F224">
        <v>1518714</v>
      </c>
      <c r="G224" s="29">
        <v>1479247</v>
      </c>
      <c r="H224" s="29">
        <v>1039016</v>
      </c>
      <c r="I224" s="29">
        <v>845985</v>
      </c>
      <c r="J224">
        <v>857824</v>
      </c>
      <c r="K224">
        <v>751527</v>
      </c>
      <c r="L224">
        <v>670064</v>
      </c>
      <c r="M224">
        <v>634342</v>
      </c>
      <c r="N224">
        <v>687380</v>
      </c>
      <c r="O224">
        <v>631834</v>
      </c>
      <c r="P224">
        <v>564800</v>
      </c>
      <c r="Q224">
        <v>579300</v>
      </c>
      <c r="R224">
        <v>556700</v>
      </c>
      <c r="S224">
        <v>425200</v>
      </c>
    </row>
    <row r="225" spans="1:19">
      <c r="E225" s="29"/>
      <c r="F225" s="29"/>
      <c r="G225" s="29"/>
      <c r="H225" s="29"/>
      <c r="I225" s="29"/>
    </row>
    <row r="226" spans="1:19">
      <c r="A226" s="23" t="s">
        <v>433</v>
      </c>
      <c r="B226" s="53">
        <f t="shared" ref="B226:S226" si="83">SUBTOTAL(9,B227:B231)</f>
        <v>238808237</v>
      </c>
      <c r="C226" s="53">
        <f t="shared" si="83"/>
        <v>221990712</v>
      </c>
      <c r="D226" s="53">
        <f>SUBTOTAL(9,D227:D231)</f>
        <v>215739734</v>
      </c>
      <c r="E226" s="53">
        <f t="shared" si="83"/>
        <v>212046081</v>
      </c>
      <c r="F226" s="29">
        <f t="shared" si="83"/>
        <v>200018435</v>
      </c>
      <c r="G226" s="29">
        <f t="shared" si="83"/>
        <v>189872337</v>
      </c>
      <c r="H226" s="29">
        <f t="shared" si="83"/>
        <v>180788805</v>
      </c>
      <c r="I226" s="29">
        <f t="shared" si="83"/>
        <v>156317621</v>
      </c>
      <c r="J226">
        <f t="shared" si="83"/>
        <v>159144352</v>
      </c>
      <c r="K226">
        <f t="shared" si="83"/>
        <v>148826891</v>
      </c>
      <c r="L226">
        <f t="shared" si="83"/>
        <v>136402169</v>
      </c>
      <c r="M226">
        <f t="shared" si="83"/>
        <v>125453013</v>
      </c>
      <c r="N226">
        <f t="shared" si="83"/>
        <v>115328209</v>
      </c>
      <c r="O226">
        <f t="shared" si="83"/>
        <v>101149558</v>
      </c>
      <c r="P226">
        <f t="shared" si="83"/>
        <v>86770300</v>
      </c>
      <c r="Q226">
        <f t="shared" si="83"/>
        <v>73591600</v>
      </c>
      <c r="R226">
        <f t="shared" si="83"/>
        <v>61424800</v>
      </c>
      <c r="S226">
        <f t="shared" si="83"/>
        <v>56063200</v>
      </c>
    </row>
    <row r="227" spans="1:19">
      <c r="A227" t="s">
        <v>434</v>
      </c>
      <c r="B227">
        <v>91183030</v>
      </c>
      <c r="C227">
        <v>84700816</v>
      </c>
      <c r="D227">
        <v>81649593</v>
      </c>
      <c r="E227">
        <v>108920665</v>
      </c>
      <c r="F227">
        <v>146838847</v>
      </c>
      <c r="G227" s="29">
        <v>136887050</v>
      </c>
      <c r="H227" s="29">
        <v>124850598</v>
      </c>
      <c r="I227" s="29">
        <v>116504196</v>
      </c>
      <c r="J227">
        <v>108507598</v>
      </c>
      <c r="K227">
        <v>101433250</v>
      </c>
      <c r="L227">
        <v>83296613</v>
      </c>
      <c r="M227">
        <v>60413065</v>
      </c>
      <c r="N227">
        <v>52751318</v>
      </c>
      <c r="O227">
        <v>44000180</v>
      </c>
      <c r="P227">
        <v>34476700</v>
      </c>
      <c r="Q227">
        <v>30370800</v>
      </c>
      <c r="R227">
        <v>27671600</v>
      </c>
      <c r="S227">
        <v>25744000</v>
      </c>
    </row>
    <row r="228" spans="1:19">
      <c r="A228" t="s">
        <v>435</v>
      </c>
      <c r="B228">
        <v>34862720</v>
      </c>
      <c r="C228">
        <v>33581755</v>
      </c>
      <c r="D228">
        <v>32661148</v>
      </c>
      <c r="E228">
        <v>32698409</v>
      </c>
      <c r="F228">
        <v>32248060</v>
      </c>
      <c r="G228" s="29">
        <v>32913536</v>
      </c>
      <c r="H228" s="29">
        <v>31566620</v>
      </c>
      <c r="I228" s="29">
        <v>30782564</v>
      </c>
      <c r="J228">
        <v>31337797</v>
      </c>
      <c r="K228">
        <v>31242601</v>
      </c>
      <c r="L228">
        <v>29496153</v>
      </c>
      <c r="M228">
        <v>28321819</v>
      </c>
      <c r="N228">
        <v>27493077</v>
      </c>
      <c r="O228">
        <v>24447706</v>
      </c>
      <c r="P228">
        <v>22361000</v>
      </c>
      <c r="Q228">
        <v>20474300</v>
      </c>
      <c r="R228">
        <v>18636500</v>
      </c>
      <c r="S228">
        <v>18237300</v>
      </c>
    </row>
    <row r="229" spans="1:19">
      <c r="A229" s="24" t="s">
        <v>959</v>
      </c>
      <c r="B229" s="24">
        <v>95066051</v>
      </c>
      <c r="C229" s="24">
        <v>86788209</v>
      </c>
      <c r="D229">
        <v>80080240</v>
      </c>
      <c r="E229">
        <v>49030306</v>
      </c>
      <c r="F229">
        <v>0</v>
      </c>
      <c r="G229" s="29"/>
      <c r="H229" s="29"/>
      <c r="I229" s="29"/>
      <c r="J229" t="s">
        <v>4</v>
      </c>
      <c r="K229" t="s">
        <v>4</v>
      </c>
      <c r="L229">
        <v>15788780</v>
      </c>
      <c r="M229">
        <v>29434092</v>
      </c>
      <c r="N229">
        <v>28428122</v>
      </c>
      <c r="O229">
        <v>26791989</v>
      </c>
      <c r="P229">
        <v>25654700</v>
      </c>
      <c r="Q229">
        <v>20166500</v>
      </c>
      <c r="R229">
        <v>15107600</v>
      </c>
      <c r="S229">
        <v>12077600</v>
      </c>
    </row>
    <row r="230" spans="1:19">
      <c r="A230" t="s">
        <v>436</v>
      </c>
      <c r="B230">
        <v>12696436</v>
      </c>
      <c r="C230">
        <v>11919932</v>
      </c>
      <c r="D230">
        <v>11348753</v>
      </c>
      <c r="E230">
        <v>11396701</v>
      </c>
      <c r="F230">
        <v>10931528</v>
      </c>
      <c r="G230" s="29">
        <v>10071751</v>
      </c>
      <c r="H230" s="29">
        <v>9371587</v>
      </c>
      <c r="I230" s="29">
        <v>9030861</v>
      </c>
      <c r="J230">
        <v>8598957</v>
      </c>
      <c r="K230">
        <v>8151040</v>
      </c>
      <c r="L230">
        <v>7820623</v>
      </c>
      <c r="M230">
        <v>7284037</v>
      </c>
      <c r="N230">
        <v>6655692</v>
      </c>
      <c r="O230">
        <v>5909683</v>
      </c>
      <c r="P230">
        <v>4277900</v>
      </c>
      <c r="Q230">
        <v>2580000</v>
      </c>
      <c r="R230">
        <v>9100</v>
      </c>
      <c r="S230">
        <v>4300</v>
      </c>
    </row>
    <row r="231" spans="1:19">
      <c r="A231" t="s">
        <v>437</v>
      </c>
      <c r="B231">
        <v>5000000</v>
      </c>
      <c r="C231">
        <v>5000000</v>
      </c>
      <c r="D231">
        <v>10000000</v>
      </c>
      <c r="E231">
        <v>10000000</v>
      </c>
      <c r="F231">
        <v>10000000</v>
      </c>
      <c r="G231" s="29">
        <v>10000000</v>
      </c>
      <c r="H231" s="29">
        <v>15000000</v>
      </c>
      <c r="I231" s="29">
        <v>0</v>
      </c>
      <c r="J231">
        <v>10700000</v>
      </c>
      <c r="K231">
        <v>8000000</v>
      </c>
      <c r="L231" t="s">
        <v>4</v>
      </c>
      <c r="M231">
        <v>0</v>
      </c>
      <c r="N231">
        <v>0</v>
      </c>
      <c r="O231">
        <v>0</v>
      </c>
      <c r="P231">
        <v>0</v>
      </c>
      <c r="Q231">
        <v>0</v>
      </c>
      <c r="R231">
        <v>0</v>
      </c>
      <c r="S231">
        <v>0</v>
      </c>
    </row>
    <row r="232" spans="1:19">
      <c r="E232" s="29"/>
      <c r="F232" s="29"/>
      <c r="G232" s="29"/>
      <c r="H232" s="29"/>
      <c r="I232" s="29"/>
    </row>
    <row r="233" spans="1:19">
      <c r="A233" s="23" t="s">
        <v>438</v>
      </c>
      <c r="B233" s="53">
        <f t="shared" ref="B233:E233" si="84">SUBTOTAL(9,B234:B234)</f>
        <v>11524</v>
      </c>
      <c r="C233" s="53">
        <f t="shared" si="84"/>
        <v>11524</v>
      </c>
      <c r="D233" s="53">
        <f>SUBTOTAL(9,D234:D234)</f>
        <v>817</v>
      </c>
      <c r="E233" s="53">
        <f t="shared" si="84"/>
        <v>780</v>
      </c>
      <c r="F233" s="53">
        <f t="shared" ref="F233" si="85">SUBTOTAL(9,F234:F234)</f>
        <v>879</v>
      </c>
      <c r="G233" s="53">
        <f t="shared" ref="G233" si="86">SUBTOTAL(9,G234:G234)</f>
        <v>9619</v>
      </c>
      <c r="H233" s="53">
        <f t="shared" ref="H233" si="87">SUBTOTAL(9,H234:H234)</f>
        <v>7852</v>
      </c>
      <c r="I233" s="53">
        <f t="shared" ref="I233:S233" si="88">SUBTOTAL(9,I234:I234)</f>
        <v>7021</v>
      </c>
      <c r="J233" s="23">
        <f t="shared" si="88"/>
        <v>7507</v>
      </c>
      <c r="K233" s="23">
        <f t="shared" si="88"/>
        <v>7062</v>
      </c>
      <c r="L233" s="23">
        <f t="shared" si="88"/>
        <v>7445</v>
      </c>
      <c r="M233" s="23">
        <f t="shared" si="88"/>
        <v>6790</v>
      </c>
      <c r="N233" s="23">
        <f t="shared" si="88"/>
        <v>6628</v>
      </c>
      <c r="O233" s="23">
        <f t="shared" si="88"/>
        <v>5729</v>
      </c>
      <c r="P233" s="23">
        <f t="shared" si="88"/>
        <v>5700</v>
      </c>
      <c r="Q233" s="23">
        <f t="shared" si="88"/>
        <v>5300</v>
      </c>
      <c r="R233" s="23">
        <f t="shared" si="88"/>
        <v>4000</v>
      </c>
      <c r="S233" s="23">
        <f t="shared" si="88"/>
        <v>2500</v>
      </c>
    </row>
    <row r="234" spans="1:19">
      <c r="A234" t="s">
        <v>439</v>
      </c>
      <c r="B234">
        <v>11524</v>
      </c>
      <c r="C234">
        <v>11524</v>
      </c>
      <c r="D234">
        <v>817</v>
      </c>
      <c r="E234">
        <v>780</v>
      </c>
      <c r="F234">
        <v>879</v>
      </c>
      <c r="G234" s="29">
        <v>9619</v>
      </c>
      <c r="H234" s="29">
        <v>7852</v>
      </c>
      <c r="I234" s="29">
        <v>7021</v>
      </c>
      <c r="J234">
        <v>7507</v>
      </c>
      <c r="K234">
        <v>7062</v>
      </c>
      <c r="L234">
        <v>7445</v>
      </c>
      <c r="M234">
        <v>6790</v>
      </c>
      <c r="N234">
        <v>6628</v>
      </c>
      <c r="O234">
        <v>5729</v>
      </c>
      <c r="P234">
        <v>5700</v>
      </c>
      <c r="Q234">
        <v>5300</v>
      </c>
      <c r="R234">
        <v>4000</v>
      </c>
      <c r="S234">
        <v>2500</v>
      </c>
    </row>
    <row r="235" spans="1:19">
      <c r="E235" s="29"/>
      <c r="F235" s="29"/>
      <c r="G235" s="29"/>
      <c r="H235" s="29"/>
      <c r="I235" s="29"/>
    </row>
    <row r="236" spans="1:19">
      <c r="A236" s="23" t="s">
        <v>440</v>
      </c>
      <c r="B236" s="53">
        <f t="shared" ref="B236:E236" si="89">SUBTOTAL(9,B237:B237)</f>
        <v>8238928</v>
      </c>
      <c r="C236" s="53">
        <f t="shared" si="89"/>
        <v>8238928</v>
      </c>
      <c r="D236" s="53">
        <f>SUBTOTAL(9,D237:D237)</f>
        <v>9238928</v>
      </c>
      <c r="E236" s="53">
        <f t="shared" si="89"/>
        <v>9238928</v>
      </c>
      <c r="F236" s="53">
        <f t="shared" ref="F236" si="90">SUBTOTAL(9,F237:F237)</f>
        <v>9238928</v>
      </c>
      <c r="G236" s="53">
        <f t="shared" ref="G236" si="91">SUBTOTAL(9,G237:G237)</f>
        <v>9238928</v>
      </c>
      <c r="H236" s="53">
        <f t="shared" ref="H236" si="92">SUBTOTAL(9,H237:H237)</f>
        <v>13998141</v>
      </c>
      <c r="I236" s="53">
        <f t="shared" ref="I236:S236" si="93">SUBTOTAL(9,I237:I237)</f>
        <v>7275947</v>
      </c>
      <c r="J236" s="23">
        <f t="shared" si="93"/>
        <v>5771501</v>
      </c>
      <c r="K236" s="23">
        <f t="shared" si="93"/>
        <v>6771501</v>
      </c>
      <c r="L236" s="23">
        <f t="shared" si="93"/>
        <v>6771502</v>
      </c>
      <c r="M236" s="23">
        <f t="shared" si="93"/>
        <v>5266150</v>
      </c>
      <c r="N236" s="23">
        <f t="shared" si="93"/>
        <v>4375116</v>
      </c>
      <c r="O236" s="23">
        <f t="shared" si="93"/>
        <v>2975116</v>
      </c>
      <c r="P236" s="23">
        <f t="shared" si="93"/>
        <v>2975100</v>
      </c>
      <c r="Q236" s="23">
        <f t="shared" si="93"/>
        <v>2975100</v>
      </c>
      <c r="R236" s="23">
        <f t="shared" si="93"/>
        <v>3275100</v>
      </c>
      <c r="S236" s="23">
        <f t="shared" si="93"/>
        <v>5609600</v>
      </c>
    </row>
    <row r="237" spans="1:19">
      <c r="A237" t="s">
        <v>441</v>
      </c>
      <c r="B237">
        <v>8238928</v>
      </c>
      <c r="C237">
        <v>8238928</v>
      </c>
      <c r="D237">
        <v>9238928</v>
      </c>
      <c r="E237">
        <v>9238928</v>
      </c>
      <c r="F237">
        <v>9238928</v>
      </c>
      <c r="G237" s="29">
        <v>9238928</v>
      </c>
      <c r="H237" s="29">
        <v>13998141</v>
      </c>
      <c r="I237" s="29">
        <v>7275947</v>
      </c>
      <c r="J237">
        <v>5771501</v>
      </c>
      <c r="K237">
        <v>6771501</v>
      </c>
      <c r="L237">
        <v>6771502</v>
      </c>
      <c r="M237">
        <v>5266150</v>
      </c>
      <c r="N237">
        <v>4375116</v>
      </c>
      <c r="O237">
        <v>2975116</v>
      </c>
      <c r="P237">
        <v>2975100</v>
      </c>
      <c r="Q237">
        <v>2975100</v>
      </c>
      <c r="R237">
        <v>3275100</v>
      </c>
      <c r="S237">
        <v>5609600</v>
      </c>
    </row>
    <row r="238" spans="1:19">
      <c r="E238" s="29"/>
      <c r="F238" s="29"/>
      <c r="G238" s="29"/>
      <c r="H238" s="29"/>
      <c r="I238" s="29"/>
    </row>
    <row r="239" spans="1:19">
      <c r="A239" s="23" t="s">
        <v>442</v>
      </c>
      <c r="B239" s="53">
        <f t="shared" ref="B239:E239" si="94">SUBTOTAL(9,B240:B240)</f>
        <v>515000</v>
      </c>
      <c r="C239" s="53">
        <f t="shared" si="94"/>
        <v>515000</v>
      </c>
      <c r="D239" s="53">
        <f>SUBTOTAL(9,D240:D240)</f>
        <v>97905</v>
      </c>
      <c r="E239" s="53">
        <f t="shared" si="94"/>
        <v>330457</v>
      </c>
      <c r="F239" s="53">
        <f t="shared" ref="F239" si="95">SUBTOTAL(9,F240:F240)</f>
        <v>364483</v>
      </c>
      <c r="G239" s="53">
        <f t="shared" ref="G239" si="96">SUBTOTAL(9,G240:G240)</f>
        <v>304357</v>
      </c>
      <c r="H239" s="53">
        <f t="shared" ref="H239" si="97">SUBTOTAL(9,H240:H240)</f>
        <v>430041</v>
      </c>
      <c r="I239" s="53">
        <f t="shared" ref="I239:S239" si="98">SUBTOTAL(9,I240:I240)</f>
        <v>503001</v>
      </c>
      <c r="J239" s="23">
        <f t="shared" si="98"/>
        <v>289036</v>
      </c>
      <c r="K239" s="23">
        <f t="shared" si="98"/>
        <v>102359</v>
      </c>
      <c r="L239" s="23">
        <f t="shared" si="98"/>
        <v>196584</v>
      </c>
      <c r="M239" s="23">
        <f t="shared" si="98"/>
        <v>242880</v>
      </c>
      <c r="N239" s="23">
        <f t="shared" si="98"/>
        <v>230323</v>
      </c>
      <c r="O239" s="23">
        <f t="shared" si="98"/>
        <v>291593</v>
      </c>
      <c r="P239" s="23">
        <f t="shared" si="98"/>
        <v>327600</v>
      </c>
      <c r="Q239" s="23">
        <f t="shared" si="98"/>
        <v>154100</v>
      </c>
      <c r="R239" s="23">
        <f t="shared" si="98"/>
        <v>53700</v>
      </c>
      <c r="S239" s="23">
        <f t="shared" si="98"/>
        <v>62100</v>
      </c>
    </row>
    <row r="240" spans="1:19">
      <c r="A240" t="s">
        <v>443</v>
      </c>
      <c r="B240">
        <v>515000</v>
      </c>
      <c r="C240">
        <v>515000</v>
      </c>
      <c r="D240">
        <v>97905</v>
      </c>
      <c r="E240">
        <v>330457</v>
      </c>
      <c r="F240">
        <v>364483</v>
      </c>
      <c r="G240" s="29">
        <v>304357</v>
      </c>
      <c r="H240" s="29">
        <v>430041</v>
      </c>
      <c r="I240" s="29">
        <v>503001</v>
      </c>
      <c r="J240">
        <v>289036</v>
      </c>
      <c r="K240">
        <v>102359</v>
      </c>
      <c r="L240">
        <v>196584</v>
      </c>
      <c r="M240">
        <v>242880</v>
      </c>
      <c r="N240">
        <v>230323</v>
      </c>
      <c r="O240">
        <v>291593</v>
      </c>
      <c r="P240">
        <v>327600</v>
      </c>
      <c r="Q240">
        <v>154100</v>
      </c>
      <c r="R240">
        <v>53700</v>
      </c>
      <c r="S240">
        <v>62100</v>
      </c>
    </row>
    <row r="241" spans="1:19">
      <c r="E241" s="29"/>
      <c r="F241" s="29"/>
      <c r="G241" s="29"/>
      <c r="H241" s="29"/>
      <c r="I241" s="29"/>
    </row>
    <row r="242" spans="1:19">
      <c r="A242" s="23" t="s">
        <v>999</v>
      </c>
      <c r="B242" s="53">
        <f t="shared" ref="B242:S242" si="99">SUBTOTAL(9,B243:B245)</f>
        <v>-9142833</v>
      </c>
      <c r="C242" s="53">
        <f t="shared" si="99"/>
        <v>-8801617</v>
      </c>
      <c r="D242" s="53">
        <f>SUBTOTAL(9,D243:D245)</f>
        <v>0</v>
      </c>
      <c r="E242" s="53">
        <f t="shared" si="99"/>
        <v>0</v>
      </c>
      <c r="F242" s="53">
        <f t="shared" si="99"/>
        <v>0</v>
      </c>
      <c r="G242" s="53">
        <f t="shared" si="99"/>
        <v>0</v>
      </c>
      <c r="H242" s="53">
        <f t="shared" si="99"/>
        <v>0</v>
      </c>
      <c r="I242" s="53">
        <f t="shared" si="99"/>
        <v>-11984</v>
      </c>
      <c r="J242" s="23">
        <f t="shared" si="99"/>
        <v>-16255</v>
      </c>
      <c r="K242" s="23">
        <f t="shared" si="99"/>
        <v>0</v>
      </c>
      <c r="L242" s="23">
        <f t="shared" si="99"/>
        <v>0</v>
      </c>
      <c r="M242" s="23">
        <f t="shared" si="99"/>
        <v>0</v>
      </c>
      <c r="N242" s="23">
        <f t="shared" si="99"/>
        <v>0</v>
      </c>
      <c r="O242" s="23">
        <f t="shared" si="99"/>
        <v>0</v>
      </c>
      <c r="P242" s="23">
        <f t="shared" si="99"/>
        <v>-5620000</v>
      </c>
      <c r="Q242" s="23">
        <f t="shared" si="99"/>
        <v>0</v>
      </c>
      <c r="R242" s="23">
        <f t="shared" si="99"/>
        <v>0</v>
      </c>
      <c r="S242" s="23">
        <f t="shared" si="99"/>
        <v>0</v>
      </c>
    </row>
    <row r="243" spans="1:19">
      <c r="A243" s="24" t="s">
        <v>998</v>
      </c>
      <c r="E243" s="29">
        <v>0</v>
      </c>
      <c r="F243" s="29">
        <v>0</v>
      </c>
      <c r="G243" s="29">
        <v>0</v>
      </c>
      <c r="H243" s="29">
        <v>0</v>
      </c>
      <c r="I243" s="29">
        <v>-11984</v>
      </c>
      <c r="J243">
        <v>-16255</v>
      </c>
      <c r="K243">
        <v>0</v>
      </c>
      <c r="L243">
        <v>0</v>
      </c>
      <c r="M243">
        <v>0</v>
      </c>
      <c r="N243">
        <v>0</v>
      </c>
      <c r="O243">
        <v>0</v>
      </c>
      <c r="P243">
        <v>0</v>
      </c>
      <c r="Q243">
        <v>0</v>
      </c>
      <c r="R243">
        <v>0</v>
      </c>
      <c r="S243">
        <v>0</v>
      </c>
    </row>
    <row r="244" spans="1:19">
      <c r="A244" t="s">
        <v>444</v>
      </c>
      <c r="B244">
        <v>-5485700</v>
      </c>
      <c r="C244">
        <v>-5280971</v>
      </c>
      <c r="D244">
        <v>0</v>
      </c>
      <c r="E244">
        <v>0</v>
      </c>
      <c r="F244">
        <v>0</v>
      </c>
      <c r="G244" s="29">
        <v>0</v>
      </c>
      <c r="H244" s="29">
        <v>0</v>
      </c>
      <c r="I244" s="29">
        <v>0</v>
      </c>
      <c r="J244" t="s">
        <v>4</v>
      </c>
      <c r="K244">
        <v>0</v>
      </c>
      <c r="L244">
        <v>0</v>
      </c>
      <c r="M244">
        <v>0</v>
      </c>
      <c r="N244">
        <v>0</v>
      </c>
      <c r="O244">
        <v>0</v>
      </c>
      <c r="P244">
        <v>-1600000</v>
      </c>
      <c r="Q244">
        <v>0</v>
      </c>
      <c r="R244">
        <v>0</v>
      </c>
      <c r="S244">
        <v>0</v>
      </c>
    </row>
    <row r="245" spans="1:19">
      <c r="A245" t="s">
        <v>445</v>
      </c>
      <c r="B245">
        <v>-3657133</v>
      </c>
      <c r="C245">
        <v>-3520646</v>
      </c>
      <c r="D245">
        <v>0</v>
      </c>
      <c r="E245">
        <v>0</v>
      </c>
      <c r="F245">
        <v>0</v>
      </c>
      <c r="G245" s="29">
        <v>0</v>
      </c>
      <c r="H245" s="29">
        <v>0</v>
      </c>
      <c r="I245" s="29">
        <v>0</v>
      </c>
      <c r="J245" t="s">
        <v>4</v>
      </c>
      <c r="K245">
        <v>0</v>
      </c>
      <c r="L245">
        <v>0</v>
      </c>
      <c r="M245">
        <v>0</v>
      </c>
      <c r="N245">
        <v>0</v>
      </c>
      <c r="O245">
        <v>0</v>
      </c>
      <c r="P245">
        <v>-4020000</v>
      </c>
      <c r="Q245">
        <v>0</v>
      </c>
      <c r="R245">
        <v>0</v>
      </c>
      <c r="S245">
        <v>0</v>
      </c>
    </row>
    <row r="246" spans="1:19">
      <c r="A246" s="33"/>
      <c r="B246" s="33"/>
      <c r="C246" s="33"/>
      <c r="D246" s="34"/>
      <c r="E246" s="34"/>
      <c r="F246" s="34"/>
      <c r="G246" s="34"/>
      <c r="H246" s="34"/>
      <c r="I246" s="34"/>
      <c r="J246" s="33"/>
      <c r="K246" s="33"/>
      <c r="L246" s="33"/>
      <c r="M246" s="33"/>
      <c r="N246" s="33"/>
      <c r="O246" s="33"/>
      <c r="P246" s="33"/>
      <c r="Q246" s="33"/>
      <c r="R246" s="33"/>
      <c r="S246" s="33"/>
    </row>
    <row r="247" spans="1:19">
      <c r="A247" s="23" t="s">
        <v>446</v>
      </c>
      <c r="B247" s="53">
        <f t="shared" ref="B247:S247" si="100">SUBTOTAL(9,B249:B284)</f>
        <v>87449722</v>
      </c>
      <c r="C247" s="53">
        <f t="shared" si="100"/>
        <v>95282741</v>
      </c>
      <c r="D247" s="53">
        <f>SUBTOTAL(9,D249:D287)</f>
        <v>86219729</v>
      </c>
      <c r="E247" s="53">
        <f>SUBTOTAL(9,E249:E287)</f>
        <v>83576967</v>
      </c>
      <c r="F247" s="53">
        <f t="shared" si="100"/>
        <v>99732834</v>
      </c>
      <c r="G247" s="53">
        <f t="shared" si="100"/>
        <v>86354191</v>
      </c>
      <c r="H247" s="53">
        <f t="shared" si="100"/>
        <v>86234550</v>
      </c>
      <c r="I247" s="53">
        <f t="shared" si="100"/>
        <v>70810229</v>
      </c>
      <c r="J247" s="53">
        <f t="shared" si="100"/>
        <v>70126059</v>
      </c>
      <c r="K247" s="53">
        <f t="shared" si="100"/>
        <v>74379503</v>
      </c>
      <c r="L247" s="53">
        <f t="shared" si="100"/>
        <v>78334677</v>
      </c>
      <c r="M247" s="53">
        <f t="shared" si="100"/>
        <v>79850642</v>
      </c>
      <c r="N247" s="53">
        <f t="shared" si="100"/>
        <v>70696046</v>
      </c>
      <c r="O247" s="53">
        <f t="shared" si="100"/>
        <v>66347776</v>
      </c>
      <c r="P247" s="53">
        <f t="shared" si="100"/>
        <v>71271700</v>
      </c>
      <c r="Q247" s="53">
        <f t="shared" si="100"/>
        <v>62766300</v>
      </c>
      <c r="R247" s="53">
        <f t="shared" si="100"/>
        <v>66014900</v>
      </c>
      <c r="S247" s="53">
        <f t="shared" si="100"/>
        <v>65463500</v>
      </c>
    </row>
    <row r="248" spans="1:19">
      <c r="A248" s="23"/>
      <c r="B248" s="23"/>
      <c r="C248" s="23"/>
      <c r="E248" s="29"/>
      <c r="F248" s="29"/>
      <c r="G248" s="29"/>
      <c r="H248" s="29"/>
      <c r="J248" s="23"/>
      <c r="K248" s="23"/>
      <c r="L248" s="23"/>
      <c r="M248" s="23"/>
      <c r="N248" s="23"/>
      <c r="O248" s="23"/>
      <c r="P248" s="23"/>
      <c r="Q248" s="23"/>
      <c r="R248" s="23"/>
      <c r="S248" s="23"/>
    </row>
    <row r="249" spans="1:19">
      <c r="A249" s="23" t="s">
        <v>447</v>
      </c>
      <c r="B249" s="53">
        <f t="shared" ref="B249:S249" si="101">SUBTOTAL(9,B250:B278)</f>
        <v>78792374</v>
      </c>
      <c r="C249" s="53">
        <f t="shared" si="101"/>
        <v>86545959</v>
      </c>
      <c r="D249" s="53">
        <f t="shared" si="101"/>
        <v>75587358</v>
      </c>
      <c r="E249" s="53">
        <f t="shared" si="101"/>
        <v>71618533</v>
      </c>
      <c r="F249" s="53">
        <f t="shared" si="101"/>
        <v>87426771</v>
      </c>
      <c r="G249" s="53">
        <f t="shared" si="101"/>
        <v>74858968</v>
      </c>
      <c r="H249" s="53">
        <f t="shared" si="101"/>
        <v>76835124</v>
      </c>
      <c r="I249" s="53">
        <f t="shared" si="101"/>
        <v>62688129</v>
      </c>
      <c r="J249" s="23">
        <f t="shared" si="101"/>
        <v>61793712</v>
      </c>
      <c r="K249" s="23">
        <f t="shared" si="101"/>
        <v>65917109</v>
      </c>
      <c r="L249" s="23">
        <f t="shared" si="101"/>
        <v>70441496</v>
      </c>
      <c r="M249" s="23">
        <f t="shared" si="101"/>
        <v>72521821</v>
      </c>
      <c r="N249" s="23">
        <f t="shared" si="101"/>
        <v>63808444</v>
      </c>
      <c r="O249" s="23">
        <f t="shared" si="101"/>
        <v>59783192</v>
      </c>
      <c r="P249" s="23">
        <f t="shared" si="101"/>
        <v>64598300</v>
      </c>
      <c r="Q249" s="23">
        <f t="shared" si="101"/>
        <v>56164400</v>
      </c>
      <c r="R249" s="23">
        <f t="shared" si="101"/>
        <v>59220000</v>
      </c>
      <c r="S249" s="23">
        <f t="shared" si="101"/>
        <v>59940200</v>
      </c>
    </row>
    <row r="250" spans="1:19">
      <c r="A250" t="s">
        <v>448</v>
      </c>
      <c r="B250">
        <v>16764155</v>
      </c>
      <c r="C250">
        <v>16982266</v>
      </c>
      <c r="D250">
        <v>16778694</v>
      </c>
      <c r="E250">
        <v>16934655</v>
      </c>
      <c r="F250">
        <v>21293735</v>
      </c>
      <c r="G250" s="29">
        <v>22937836</v>
      </c>
      <c r="H250" s="29">
        <v>27016958</v>
      </c>
      <c r="I250" s="29">
        <v>21549445</v>
      </c>
      <c r="J250" s="24">
        <v>19664289</v>
      </c>
      <c r="K250" s="24">
        <v>21144729</v>
      </c>
      <c r="L250" s="24">
        <v>22733400</v>
      </c>
      <c r="M250" s="24">
        <v>21840094</v>
      </c>
      <c r="N250" s="24">
        <v>19706827</v>
      </c>
      <c r="O250" s="24">
        <v>17508842</v>
      </c>
      <c r="P250" s="24">
        <v>20528200</v>
      </c>
      <c r="Q250" s="24">
        <v>18017100</v>
      </c>
      <c r="R250" s="24">
        <v>17219400</v>
      </c>
      <c r="S250" s="24">
        <v>20061400</v>
      </c>
    </row>
    <row r="251" spans="1:19">
      <c r="A251" t="s">
        <v>449</v>
      </c>
      <c r="B251">
        <v>16409538</v>
      </c>
      <c r="C251">
        <v>16568973</v>
      </c>
      <c r="D251">
        <v>6959255</v>
      </c>
      <c r="E251">
        <v>7866633</v>
      </c>
      <c r="F251">
        <v>20218381</v>
      </c>
      <c r="G251" s="29">
        <v>14643526</v>
      </c>
      <c r="H251" s="29">
        <v>12069920</v>
      </c>
      <c r="I251" s="29">
        <v>10214980</v>
      </c>
      <c r="J251" s="24">
        <v>11270170</v>
      </c>
      <c r="K251" s="24">
        <v>13553253</v>
      </c>
      <c r="L251" s="24">
        <v>17520242</v>
      </c>
      <c r="M251" s="24">
        <v>17152527</v>
      </c>
      <c r="N251" s="24">
        <v>13772151</v>
      </c>
      <c r="O251" s="24">
        <v>16110818</v>
      </c>
      <c r="P251" s="24">
        <v>13698400</v>
      </c>
      <c r="Q251" s="24">
        <v>13917900</v>
      </c>
      <c r="R251" s="24">
        <v>15699700</v>
      </c>
      <c r="S251" s="24">
        <v>18119900</v>
      </c>
    </row>
    <row r="252" spans="1:19">
      <c r="A252" t="s">
        <v>450</v>
      </c>
      <c r="B252">
        <v>2186956</v>
      </c>
      <c r="C252">
        <v>2160186</v>
      </c>
      <c r="D252">
        <v>1138755</v>
      </c>
      <c r="E252">
        <v>1304823</v>
      </c>
      <c r="F252">
        <v>1431676</v>
      </c>
      <c r="G252" s="29">
        <v>1690822</v>
      </c>
      <c r="H252" s="29">
        <v>1247515</v>
      </c>
      <c r="I252" s="29">
        <v>1072009</v>
      </c>
      <c r="J252" s="24">
        <v>1247434</v>
      </c>
      <c r="K252" s="24">
        <v>2825776</v>
      </c>
      <c r="L252" s="24">
        <v>2559312</v>
      </c>
      <c r="M252" s="24">
        <v>2660992</v>
      </c>
      <c r="N252" s="24">
        <v>2264118</v>
      </c>
      <c r="O252" s="24">
        <v>1846440</v>
      </c>
      <c r="P252" s="24">
        <v>2159500</v>
      </c>
      <c r="Q252" s="24">
        <v>1952900</v>
      </c>
      <c r="R252" s="24">
        <v>2539800</v>
      </c>
      <c r="S252" s="24">
        <v>1836000</v>
      </c>
    </row>
    <row r="253" spans="1:19">
      <c r="A253" t="s">
        <v>451</v>
      </c>
      <c r="B253">
        <v>952709</v>
      </c>
      <c r="C253">
        <v>980407</v>
      </c>
      <c r="D253">
        <v>949968</v>
      </c>
      <c r="E253">
        <v>557348</v>
      </c>
      <c r="F253">
        <v>1412852</v>
      </c>
      <c r="G253" s="29">
        <v>1270338</v>
      </c>
      <c r="H253" s="29">
        <v>1054958</v>
      </c>
      <c r="I253" s="29">
        <v>1643264</v>
      </c>
      <c r="J253" s="24">
        <v>3789915</v>
      </c>
      <c r="K253" s="24">
        <v>2334761</v>
      </c>
      <c r="L253" s="24">
        <v>1820350</v>
      </c>
      <c r="M253" s="24">
        <v>1535399</v>
      </c>
      <c r="N253" s="24">
        <v>1311415</v>
      </c>
      <c r="O253" s="24">
        <v>872412</v>
      </c>
      <c r="P253" s="24">
        <v>1711100</v>
      </c>
      <c r="Q253" s="24">
        <v>2904100</v>
      </c>
      <c r="R253" s="24">
        <v>597300</v>
      </c>
      <c r="S253" s="24">
        <v>1260100</v>
      </c>
    </row>
    <row r="254" spans="1:19">
      <c r="A254" t="s">
        <v>452</v>
      </c>
      <c r="B254">
        <v>7821005</v>
      </c>
      <c r="C254">
        <v>8446037</v>
      </c>
      <c r="D254">
        <v>7016649</v>
      </c>
      <c r="E254">
        <v>6945748</v>
      </c>
      <c r="F254">
        <v>6532177</v>
      </c>
      <c r="G254" s="29">
        <v>6488291</v>
      </c>
      <c r="H254" s="29">
        <v>6632814</v>
      </c>
      <c r="I254" s="29">
        <v>5735616</v>
      </c>
      <c r="J254" s="24">
        <v>5609619</v>
      </c>
      <c r="K254" s="24">
        <v>4401496</v>
      </c>
      <c r="L254" s="24">
        <v>4306879</v>
      </c>
      <c r="M254" s="24">
        <v>3897863</v>
      </c>
      <c r="N254" s="24">
        <v>4970877</v>
      </c>
      <c r="O254" s="24">
        <v>1701734</v>
      </c>
      <c r="P254" s="24">
        <v>3284800</v>
      </c>
      <c r="Q254" s="24">
        <v>2737000</v>
      </c>
      <c r="R254" s="24">
        <v>2573500</v>
      </c>
      <c r="S254" s="24">
        <v>2514600</v>
      </c>
    </row>
    <row r="255" spans="1:19">
      <c r="A255" t="s">
        <v>453</v>
      </c>
      <c r="B255">
        <v>3375504</v>
      </c>
      <c r="C255">
        <v>3375304</v>
      </c>
      <c r="D255">
        <v>3284205</v>
      </c>
      <c r="E255">
        <v>3435567</v>
      </c>
      <c r="F255">
        <v>2576427</v>
      </c>
      <c r="G255" s="29">
        <v>3203138</v>
      </c>
      <c r="H255" s="29">
        <v>3224459</v>
      </c>
      <c r="I255" s="29">
        <v>3092162</v>
      </c>
      <c r="J255" s="24">
        <v>3035346</v>
      </c>
      <c r="K255" s="24">
        <v>2770002</v>
      </c>
      <c r="L255" s="24">
        <v>2742008</v>
      </c>
      <c r="M255" s="24">
        <v>2664089</v>
      </c>
      <c r="N255" s="24">
        <v>2042920</v>
      </c>
      <c r="O255" s="24">
        <v>2012271</v>
      </c>
      <c r="P255" s="24">
        <v>1734800</v>
      </c>
      <c r="Q255" s="24">
        <v>1678300</v>
      </c>
      <c r="R255" s="24">
        <v>1406200</v>
      </c>
      <c r="S255" s="24">
        <v>1437600</v>
      </c>
    </row>
    <row r="256" spans="1:19">
      <c r="A256" t="s">
        <v>454</v>
      </c>
      <c r="B256">
        <v>1448808</v>
      </c>
      <c r="C256">
        <v>1374478</v>
      </c>
      <c r="D256">
        <v>1218703</v>
      </c>
      <c r="E256">
        <v>1127970</v>
      </c>
      <c r="F256">
        <v>1120085</v>
      </c>
      <c r="G256" s="29">
        <v>1161203</v>
      </c>
      <c r="H256" s="29">
        <v>1425340</v>
      </c>
      <c r="I256" s="29">
        <v>1192987</v>
      </c>
      <c r="J256" s="24">
        <v>1073632</v>
      </c>
      <c r="K256" s="24">
        <v>1607299</v>
      </c>
      <c r="L256" s="24">
        <v>1593708</v>
      </c>
      <c r="M256" s="24">
        <v>1204406</v>
      </c>
      <c r="N256" s="24">
        <v>1643955</v>
      </c>
      <c r="O256" s="24">
        <v>1388194</v>
      </c>
      <c r="P256" s="24">
        <v>1499000</v>
      </c>
      <c r="Q256" s="24">
        <v>1457700</v>
      </c>
      <c r="R256" s="24">
        <v>1132600</v>
      </c>
      <c r="S256" s="24">
        <v>1085400</v>
      </c>
    </row>
    <row r="257" spans="1:19">
      <c r="A257" t="s">
        <v>455</v>
      </c>
      <c r="B257">
        <v>14774651</v>
      </c>
      <c r="C257">
        <v>22079241</v>
      </c>
      <c r="D257">
        <v>8941182</v>
      </c>
      <c r="E257">
        <v>9273526</v>
      </c>
      <c r="F257">
        <v>17434875</v>
      </c>
      <c r="G257" s="29">
        <v>12348333</v>
      </c>
      <c r="H257" s="29">
        <v>15093662</v>
      </c>
      <c r="I257" s="29">
        <v>9194649</v>
      </c>
      <c r="J257" s="24">
        <v>7781297</v>
      </c>
      <c r="K257" s="24">
        <v>8293165</v>
      </c>
      <c r="L257" s="24">
        <v>8316446</v>
      </c>
      <c r="M257" s="24">
        <v>13798053</v>
      </c>
      <c r="N257" s="24">
        <v>12703482</v>
      </c>
      <c r="O257" s="24">
        <v>12537623</v>
      </c>
      <c r="P257" s="24">
        <v>14535000</v>
      </c>
      <c r="Q257" s="24">
        <v>9359000</v>
      </c>
      <c r="R257" s="24">
        <v>11127200</v>
      </c>
      <c r="S257" s="24">
        <v>9355700</v>
      </c>
    </row>
    <row r="258" spans="1:19">
      <c r="A258" t="s">
        <v>456</v>
      </c>
      <c r="B258" s="43">
        <v>211026</v>
      </c>
      <c r="C258" s="43">
        <v>206618</v>
      </c>
      <c r="D258" s="45">
        <v>138702</v>
      </c>
      <c r="E258" s="45">
        <v>39638</v>
      </c>
      <c r="F258" s="45">
        <v>214292</v>
      </c>
      <c r="G258" s="29">
        <v>241257</v>
      </c>
      <c r="H258" s="29">
        <v>194254</v>
      </c>
      <c r="I258" s="29">
        <v>211202</v>
      </c>
      <c r="J258" s="24">
        <v>181550</v>
      </c>
      <c r="K258" s="24">
        <v>231900</v>
      </c>
      <c r="L258" s="24">
        <v>366009</v>
      </c>
      <c r="M258" s="24">
        <v>461903</v>
      </c>
      <c r="N258" s="24">
        <v>218410</v>
      </c>
      <c r="O258" s="24">
        <v>374248</v>
      </c>
      <c r="P258" s="24">
        <v>454300</v>
      </c>
      <c r="Q258" s="24">
        <v>428400</v>
      </c>
      <c r="R258" s="24">
        <v>512500</v>
      </c>
      <c r="S258" s="24">
        <v>317500</v>
      </c>
    </row>
    <row r="259" spans="1:19">
      <c r="A259" t="s">
        <v>457</v>
      </c>
      <c r="B259">
        <v>0</v>
      </c>
      <c r="C259">
        <v>0</v>
      </c>
      <c r="D259">
        <v>284</v>
      </c>
      <c r="E259">
        <v>261</v>
      </c>
      <c r="F259">
        <v>44109</v>
      </c>
      <c r="G259" s="29">
        <v>47</v>
      </c>
      <c r="H259" s="29">
        <v>131214</v>
      </c>
      <c r="I259" s="29">
        <v>380051</v>
      </c>
      <c r="J259" s="24">
        <v>1891</v>
      </c>
      <c r="K259" s="24">
        <v>7489</v>
      </c>
      <c r="L259" s="24">
        <v>423493</v>
      </c>
      <c r="M259" s="24">
        <v>988585</v>
      </c>
      <c r="N259" s="24">
        <v>334227</v>
      </c>
      <c r="O259" s="24">
        <v>810530</v>
      </c>
      <c r="P259" s="24">
        <v>3817600</v>
      </c>
      <c r="Q259" s="24">
        <v>3290700</v>
      </c>
      <c r="R259" s="24">
        <v>4670700</v>
      </c>
      <c r="S259" s="24">
        <v>3205900</v>
      </c>
    </row>
    <row r="260" spans="1:19">
      <c r="A260" t="s">
        <v>458</v>
      </c>
      <c r="B260">
        <v>2078719</v>
      </c>
      <c r="C260">
        <v>2078719</v>
      </c>
      <c r="D260">
        <v>2110228</v>
      </c>
      <c r="E260">
        <v>47747</v>
      </c>
      <c r="F260">
        <v>142036</v>
      </c>
      <c r="G260" s="29">
        <v>3334541</v>
      </c>
      <c r="H260" s="29">
        <v>3277826</v>
      </c>
      <c r="I260" s="29">
        <v>3312282</v>
      </c>
      <c r="J260" s="24">
        <v>3798244</v>
      </c>
      <c r="K260" s="24">
        <v>4359418</v>
      </c>
      <c r="L260" s="24">
        <v>4378378</v>
      </c>
      <c r="M260" s="24">
        <v>4238118</v>
      </c>
      <c r="N260" s="24">
        <v>3988258</v>
      </c>
      <c r="O260" s="24">
        <v>3805639</v>
      </c>
      <c r="P260" s="24">
        <v>0</v>
      </c>
      <c r="Q260" s="24">
        <v>0</v>
      </c>
      <c r="R260" s="24">
        <v>0</v>
      </c>
      <c r="S260" s="24">
        <v>0</v>
      </c>
    </row>
    <row r="261" spans="1:19">
      <c r="A261" t="s">
        <v>459</v>
      </c>
      <c r="B261">
        <v>9546</v>
      </c>
      <c r="C261">
        <v>10005</v>
      </c>
      <c r="D261">
        <v>24897</v>
      </c>
      <c r="E261">
        <v>47295</v>
      </c>
      <c r="F261">
        <v>5448</v>
      </c>
      <c r="G261" s="29">
        <v>6005</v>
      </c>
      <c r="H261" s="29">
        <v>7286</v>
      </c>
      <c r="I261" s="29">
        <v>7378</v>
      </c>
      <c r="J261" s="24">
        <v>7594</v>
      </c>
      <c r="K261" s="24">
        <v>18504</v>
      </c>
      <c r="L261" s="24">
        <v>19915</v>
      </c>
      <c r="M261" s="24">
        <v>23310</v>
      </c>
      <c r="N261" s="24">
        <v>20896</v>
      </c>
      <c r="O261" s="24">
        <v>14320</v>
      </c>
      <c r="P261" s="24">
        <v>293400</v>
      </c>
      <c r="Q261" s="24">
        <v>165300</v>
      </c>
      <c r="R261" s="24">
        <v>155400</v>
      </c>
      <c r="S261" s="24">
        <v>155300</v>
      </c>
    </row>
    <row r="262" spans="1:19">
      <c r="A262" t="s">
        <v>460</v>
      </c>
      <c r="B262">
        <v>28958</v>
      </c>
      <c r="C262">
        <v>37294</v>
      </c>
      <c r="D262">
        <v>84148</v>
      </c>
      <c r="E262">
        <v>206288</v>
      </c>
      <c r="F262">
        <v>99050</v>
      </c>
      <c r="G262" s="29">
        <v>157360</v>
      </c>
      <c r="H262" s="29">
        <v>137030</v>
      </c>
      <c r="I262" s="29">
        <v>85404</v>
      </c>
      <c r="J262" s="24">
        <v>94271</v>
      </c>
      <c r="K262" s="24">
        <v>104692</v>
      </c>
      <c r="L262" s="24">
        <v>126956</v>
      </c>
      <c r="M262" s="24">
        <v>112585</v>
      </c>
      <c r="N262" s="24">
        <v>115659</v>
      </c>
      <c r="O262" s="24">
        <v>153890</v>
      </c>
      <c r="P262" s="24">
        <v>0</v>
      </c>
      <c r="Q262" s="24">
        <v>0</v>
      </c>
      <c r="R262" s="24">
        <v>0</v>
      </c>
      <c r="S262" s="24">
        <v>0</v>
      </c>
    </row>
    <row r="263" spans="1:19">
      <c r="A263" t="s">
        <v>461</v>
      </c>
      <c r="B263">
        <v>73236</v>
      </c>
      <c r="C263">
        <v>89620</v>
      </c>
      <c r="D263">
        <v>359144</v>
      </c>
      <c r="E263">
        <v>394192</v>
      </c>
      <c r="F263">
        <v>483340</v>
      </c>
      <c r="G263" s="29">
        <v>271015</v>
      </c>
      <c r="H263" s="29">
        <v>95898</v>
      </c>
      <c r="I263" s="29">
        <v>72591</v>
      </c>
      <c r="J263" s="24">
        <v>78596</v>
      </c>
      <c r="K263" s="24">
        <v>113175</v>
      </c>
      <c r="L263" s="24">
        <v>117912</v>
      </c>
      <c r="M263" s="24">
        <v>125267</v>
      </c>
      <c r="N263" s="24">
        <v>116989</v>
      </c>
      <c r="O263" s="24">
        <v>118338</v>
      </c>
      <c r="P263" s="24">
        <v>63700</v>
      </c>
      <c r="Q263" s="24">
        <v>-255300</v>
      </c>
      <c r="R263" s="24">
        <v>1117200</v>
      </c>
      <c r="S263" s="24">
        <v>105600</v>
      </c>
    </row>
    <row r="264" spans="1:19">
      <c r="A264" t="s">
        <v>462</v>
      </c>
      <c r="B264">
        <v>50000</v>
      </c>
      <c r="C264">
        <v>50000</v>
      </c>
      <c r="D264">
        <v>33662</v>
      </c>
      <c r="E264">
        <v>38539</v>
      </c>
      <c r="F264">
        <v>32296</v>
      </c>
      <c r="G264" s="29">
        <v>35528</v>
      </c>
      <c r="H264" s="29">
        <v>48514</v>
      </c>
      <c r="I264" s="29">
        <v>65577</v>
      </c>
      <c r="J264" s="24">
        <v>41779</v>
      </c>
      <c r="K264" s="24">
        <v>32700</v>
      </c>
      <c r="L264" s="24">
        <v>49900</v>
      </c>
      <c r="M264" s="24">
        <v>30139</v>
      </c>
      <c r="N264" s="24">
        <v>38711</v>
      </c>
      <c r="O264" s="24">
        <v>39380</v>
      </c>
      <c r="P264" s="24">
        <v>0</v>
      </c>
      <c r="Q264" s="24">
        <v>0</v>
      </c>
      <c r="R264" s="24">
        <v>0</v>
      </c>
      <c r="S264" s="24">
        <v>0</v>
      </c>
    </row>
    <row r="265" spans="1:19">
      <c r="A265" s="24" t="s">
        <v>806</v>
      </c>
      <c r="B265" s="24"/>
      <c r="C265" s="24"/>
      <c r="G265" s="29">
        <v>0</v>
      </c>
      <c r="H265" s="29">
        <v>0</v>
      </c>
      <c r="I265" s="29">
        <v>0</v>
      </c>
      <c r="J265" s="24"/>
      <c r="K265" s="24"/>
      <c r="L265" s="24"/>
      <c r="M265" s="24"/>
      <c r="N265" s="24"/>
      <c r="O265" s="24"/>
      <c r="P265" s="24"/>
      <c r="Q265" s="24"/>
      <c r="R265" s="24"/>
      <c r="S265" s="24"/>
    </row>
    <row r="266" spans="1:19">
      <c r="A266" s="24" t="s">
        <v>807</v>
      </c>
      <c r="B266" s="24"/>
      <c r="C266" s="24"/>
      <c r="G266" s="29"/>
      <c r="H266" s="29"/>
      <c r="I266" s="29"/>
      <c r="J266" s="24" t="s">
        <v>4</v>
      </c>
      <c r="K266" s="24">
        <v>0</v>
      </c>
      <c r="L266" s="24">
        <v>544</v>
      </c>
      <c r="M266" s="24">
        <v>0</v>
      </c>
      <c r="N266" s="24">
        <v>0</v>
      </c>
      <c r="O266" s="24">
        <v>0</v>
      </c>
      <c r="P266" s="24">
        <v>0</v>
      </c>
      <c r="Q266" s="24">
        <v>0</v>
      </c>
      <c r="R266" s="24">
        <v>0</v>
      </c>
      <c r="S266" s="24">
        <v>0</v>
      </c>
    </row>
    <row r="267" spans="1:19">
      <c r="A267" t="s">
        <v>463</v>
      </c>
      <c r="B267">
        <v>308413</v>
      </c>
      <c r="C267">
        <v>308413</v>
      </c>
      <c r="D267">
        <v>0</v>
      </c>
      <c r="E267">
        <v>0</v>
      </c>
      <c r="F267">
        <v>0</v>
      </c>
      <c r="G267" s="29">
        <v>0</v>
      </c>
      <c r="H267" s="29">
        <v>5481</v>
      </c>
      <c r="I267" s="29">
        <v>4156</v>
      </c>
      <c r="J267" s="24">
        <v>2194</v>
      </c>
      <c r="K267" s="24">
        <v>14171</v>
      </c>
      <c r="L267" s="24">
        <v>28633</v>
      </c>
      <c r="M267" s="24">
        <v>23547</v>
      </c>
      <c r="N267" s="24">
        <v>14622</v>
      </c>
      <c r="O267" s="24">
        <v>11172</v>
      </c>
      <c r="P267" s="24">
        <v>214600</v>
      </c>
      <c r="Q267" s="24">
        <v>42200</v>
      </c>
      <c r="R267" s="24">
        <v>4000</v>
      </c>
      <c r="S267" s="24">
        <v>169600</v>
      </c>
    </row>
    <row r="268" spans="1:19">
      <c r="A268" t="s">
        <v>464</v>
      </c>
      <c r="B268" s="43">
        <v>2098415</v>
      </c>
      <c r="C268" s="43">
        <v>2066915</v>
      </c>
      <c r="D268" s="45">
        <v>5347669</v>
      </c>
      <c r="E268" s="45">
        <v>6991931</v>
      </c>
      <c r="F268" s="45">
        <v>7530067</v>
      </c>
      <c r="G268" s="29">
        <v>4978787</v>
      </c>
      <c r="H268" s="29">
        <v>4585870</v>
      </c>
      <c r="I268" s="29">
        <v>4272310</v>
      </c>
      <c r="J268" s="24">
        <v>3517221</v>
      </c>
      <c r="K268" s="24">
        <v>3368633</v>
      </c>
      <c r="L268" s="24">
        <v>2682514</v>
      </c>
      <c r="M268" s="24">
        <v>1166480</v>
      </c>
      <c r="N268" s="24">
        <v>0</v>
      </c>
      <c r="O268" s="24">
        <v>0</v>
      </c>
      <c r="P268" s="24">
        <v>0</v>
      </c>
      <c r="Q268" s="24">
        <v>0</v>
      </c>
      <c r="R268" s="24">
        <v>0</v>
      </c>
      <c r="S268" s="24">
        <v>0</v>
      </c>
    </row>
    <row r="269" spans="1:19">
      <c r="A269" t="s">
        <v>465</v>
      </c>
      <c r="B269">
        <v>0</v>
      </c>
      <c r="C269">
        <v>600</v>
      </c>
      <c r="D269">
        <v>0</v>
      </c>
      <c r="E269">
        <v>0</v>
      </c>
      <c r="F269">
        <v>0</v>
      </c>
      <c r="G269" s="29">
        <v>0</v>
      </c>
      <c r="H269" s="29">
        <v>25815</v>
      </c>
      <c r="I269" s="29">
        <v>9437</v>
      </c>
      <c r="J269" s="24">
        <v>7381</v>
      </c>
      <c r="K269" s="24">
        <v>16583</v>
      </c>
      <c r="L269" s="24" t="s">
        <v>4</v>
      </c>
      <c r="M269" s="24">
        <v>0</v>
      </c>
      <c r="N269" s="24">
        <v>0</v>
      </c>
      <c r="O269" s="24">
        <v>0</v>
      </c>
      <c r="P269" s="24">
        <v>0</v>
      </c>
      <c r="Q269" s="24">
        <v>0</v>
      </c>
      <c r="R269" s="24">
        <v>0</v>
      </c>
      <c r="S269" s="24">
        <v>0</v>
      </c>
    </row>
    <row r="270" spans="1:19">
      <c r="A270" t="s">
        <v>466</v>
      </c>
      <c r="B270">
        <v>506684</v>
      </c>
      <c r="C270">
        <v>304994</v>
      </c>
      <c r="D270">
        <v>549859</v>
      </c>
      <c r="E270">
        <v>602352</v>
      </c>
      <c r="F270">
        <v>719492</v>
      </c>
      <c r="G270" s="29">
        <v>657814</v>
      </c>
      <c r="H270" s="29">
        <v>560310</v>
      </c>
      <c r="I270" s="29">
        <v>572629</v>
      </c>
      <c r="J270" s="24">
        <v>591289</v>
      </c>
      <c r="K270" s="24">
        <v>719363</v>
      </c>
      <c r="L270" s="24">
        <v>654897</v>
      </c>
      <c r="M270" s="24">
        <v>598464</v>
      </c>
      <c r="N270" s="24">
        <v>544927</v>
      </c>
      <c r="O270" s="24">
        <v>477341</v>
      </c>
      <c r="P270" s="24">
        <v>603900</v>
      </c>
      <c r="Q270" s="24">
        <v>469100</v>
      </c>
      <c r="R270" s="24">
        <v>464500</v>
      </c>
      <c r="S270" s="24">
        <v>315600</v>
      </c>
    </row>
    <row r="271" spans="1:19">
      <c r="A271" t="s">
        <v>985</v>
      </c>
      <c r="B271">
        <v>0</v>
      </c>
      <c r="C271">
        <v>0</v>
      </c>
      <c r="D271">
        <v>0</v>
      </c>
      <c r="E271">
        <v>12656</v>
      </c>
      <c r="F271">
        <v>0</v>
      </c>
      <c r="G271" s="29"/>
      <c r="H271" s="29"/>
      <c r="I271" s="29"/>
      <c r="J271" s="24"/>
      <c r="K271" s="24"/>
      <c r="L271" s="24"/>
      <c r="M271" s="24"/>
      <c r="N271" s="24"/>
      <c r="O271" s="24"/>
      <c r="P271" s="24"/>
      <c r="Q271" s="24"/>
      <c r="R271" s="24"/>
      <c r="S271" s="24"/>
    </row>
    <row r="272" spans="1:19">
      <c r="A272" t="s">
        <v>467</v>
      </c>
      <c r="B272">
        <v>379806</v>
      </c>
      <c r="C272">
        <v>203844</v>
      </c>
      <c r="D272">
        <v>12233446</v>
      </c>
      <c r="E272">
        <v>12083871</v>
      </c>
      <c r="F272">
        <v>6041417</v>
      </c>
      <c r="G272" s="29">
        <v>1388662</v>
      </c>
      <c r="H272" s="29">
        <v>0</v>
      </c>
      <c r="I272" s="29">
        <v>0</v>
      </c>
      <c r="J272" s="24"/>
      <c r="K272" s="24"/>
      <c r="L272" s="24"/>
      <c r="M272" s="24"/>
      <c r="N272" s="24"/>
      <c r="O272" s="24"/>
      <c r="P272" s="24"/>
      <c r="Q272" s="24"/>
      <c r="R272" s="24"/>
      <c r="S272" s="24"/>
    </row>
    <row r="273" spans="1:19">
      <c r="A273" t="s">
        <v>468</v>
      </c>
      <c r="B273">
        <v>2551463</v>
      </c>
      <c r="C273">
        <v>2550791</v>
      </c>
      <c r="D273">
        <v>3387403</v>
      </c>
      <c r="E273">
        <v>3707493</v>
      </c>
      <c r="F273">
        <v>95016</v>
      </c>
      <c r="G273" s="29">
        <v>44465</v>
      </c>
      <c r="H273" s="29">
        <v>0</v>
      </c>
      <c r="I273" s="29">
        <v>0</v>
      </c>
      <c r="J273" s="24"/>
      <c r="K273" s="24"/>
      <c r="L273" s="24"/>
      <c r="M273" s="24"/>
      <c r="N273" s="24"/>
      <c r="O273" s="24"/>
      <c r="P273" s="24"/>
      <c r="Q273" s="24"/>
      <c r="R273" s="24"/>
      <c r="S273" s="24"/>
    </row>
    <row r="274" spans="1:19">
      <c r="A274" t="s">
        <v>986</v>
      </c>
      <c r="B274">
        <v>0</v>
      </c>
      <c r="C274">
        <v>0</v>
      </c>
      <c r="D274">
        <v>-162537</v>
      </c>
      <c r="E274">
        <v>0</v>
      </c>
      <c r="F274">
        <v>0</v>
      </c>
      <c r="G274" s="29"/>
      <c r="H274" s="29"/>
      <c r="I274" s="29"/>
      <c r="J274" s="24"/>
      <c r="K274" s="24"/>
      <c r="L274" s="24"/>
      <c r="M274" s="24"/>
      <c r="N274" s="24"/>
      <c r="O274" s="24"/>
      <c r="P274" s="24"/>
      <c r="Q274" s="24"/>
      <c r="R274" s="24"/>
      <c r="S274" s="24"/>
    </row>
    <row r="275" spans="1:19">
      <c r="A275" t="s">
        <v>987</v>
      </c>
      <c r="B275">
        <v>0</v>
      </c>
      <c r="C275">
        <v>0</v>
      </c>
      <c r="D275">
        <v>-317530</v>
      </c>
      <c r="E275">
        <v>0</v>
      </c>
      <c r="F275">
        <v>0</v>
      </c>
      <c r="G275" s="29"/>
      <c r="H275" s="29"/>
      <c r="I275" s="29"/>
      <c r="J275" s="24"/>
      <c r="K275" s="24"/>
      <c r="L275" s="24"/>
      <c r="M275" s="24"/>
      <c r="N275" s="24"/>
      <c r="O275" s="24"/>
      <c r="P275" s="24"/>
      <c r="Q275" s="24"/>
      <c r="R275" s="24"/>
      <c r="S275" s="24"/>
    </row>
    <row r="276" spans="1:19">
      <c r="A276" t="s">
        <v>988</v>
      </c>
      <c r="B276">
        <v>0</v>
      </c>
      <c r="C276">
        <v>0</v>
      </c>
      <c r="D276">
        <v>9901</v>
      </c>
      <c r="E276">
        <v>0</v>
      </c>
      <c r="F276">
        <v>0</v>
      </c>
      <c r="G276" s="29"/>
      <c r="H276" s="29"/>
      <c r="I276" s="29"/>
      <c r="J276" s="24"/>
      <c r="K276" s="24"/>
      <c r="L276" s="24"/>
      <c r="M276" s="24"/>
      <c r="N276" s="24"/>
      <c r="O276" s="24"/>
      <c r="P276" s="24"/>
      <c r="Q276" s="24"/>
      <c r="R276" s="24"/>
      <c r="S276" s="24"/>
    </row>
    <row r="277" spans="1:19">
      <c r="A277" t="s">
        <v>989</v>
      </c>
      <c r="B277">
        <v>6475000</v>
      </c>
      <c r="C277">
        <v>6475000</v>
      </c>
      <c r="D277">
        <v>5500671</v>
      </c>
      <c r="E277">
        <v>0</v>
      </c>
      <c r="F277">
        <v>0</v>
      </c>
      <c r="G277" s="29"/>
      <c r="H277" s="29"/>
      <c r="I277" s="29"/>
      <c r="J277" s="24"/>
      <c r="K277" s="24"/>
      <c r="L277" s="24"/>
      <c r="M277" s="24"/>
      <c r="N277" s="24"/>
      <c r="O277" s="24"/>
      <c r="P277" s="24"/>
      <c r="Q277" s="24"/>
      <c r="R277" s="24"/>
      <c r="S277" s="24"/>
    </row>
    <row r="278" spans="1:19">
      <c r="A278" s="24" t="s">
        <v>990</v>
      </c>
      <c r="B278" s="43">
        <v>287782</v>
      </c>
      <c r="C278">
        <v>196254</v>
      </c>
      <c r="D278">
        <v>0</v>
      </c>
      <c r="E278">
        <v>0</v>
      </c>
      <c r="F278">
        <v>0</v>
      </c>
      <c r="G278" s="29"/>
      <c r="H278" s="29"/>
      <c r="I278" s="29"/>
      <c r="J278" s="24"/>
      <c r="K278" s="24"/>
      <c r="L278" s="24"/>
      <c r="M278" s="24"/>
      <c r="N278" s="24"/>
      <c r="O278" s="24"/>
      <c r="P278" s="24"/>
      <c r="Q278" s="24"/>
      <c r="R278" s="24"/>
      <c r="S278" s="24"/>
    </row>
    <row r="279" spans="1:19">
      <c r="E279" s="29"/>
      <c r="F279" s="29"/>
      <c r="G279" s="29"/>
      <c r="H279" s="29"/>
      <c r="I279" s="29"/>
    </row>
    <row r="280" spans="1:19">
      <c r="A280" s="23" t="s">
        <v>469</v>
      </c>
      <c r="B280" s="53">
        <f t="shared" ref="B280:S280" si="102">SUBTOTAL(9,B281:B284)</f>
        <v>8657348</v>
      </c>
      <c r="C280" s="53">
        <f t="shared" si="102"/>
        <v>8736782</v>
      </c>
      <c r="D280" s="53">
        <f t="shared" si="102"/>
        <v>10632371</v>
      </c>
      <c r="E280" s="53">
        <f t="shared" si="102"/>
        <v>11949792</v>
      </c>
      <c r="F280" s="53">
        <f t="shared" si="102"/>
        <v>12306063</v>
      </c>
      <c r="G280" s="53">
        <f t="shared" si="102"/>
        <v>11495223</v>
      </c>
      <c r="H280" s="53">
        <f t="shared" si="102"/>
        <v>9399426</v>
      </c>
      <c r="I280" s="53">
        <f t="shared" si="102"/>
        <v>8122100</v>
      </c>
      <c r="J280" s="23">
        <f t="shared" si="102"/>
        <v>8332347</v>
      </c>
      <c r="K280" s="23">
        <f t="shared" si="102"/>
        <v>8462394</v>
      </c>
      <c r="L280" s="23">
        <f t="shared" si="102"/>
        <v>7893181</v>
      </c>
      <c r="M280" s="23">
        <f t="shared" si="102"/>
        <v>7328821</v>
      </c>
      <c r="N280" s="23">
        <f t="shared" si="102"/>
        <v>6887602</v>
      </c>
      <c r="O280" s="23">
        <f t="shared" si="102"/>
        <v>6564584</v>
      </c>
      <c r="P280" s="23">
        <f t="shared" si="102"/>
        <v>6673400</v>
      </c>
      <c r="Q280" s="23">
        <f t="shared" si="102"/>
        <v>6601900</v>
      </c>
      <c r="R280" s="23">
        <f t="shared" si="102"/>
        <v>6794900</v>
      </c>
      <c r="S280" s="23">
        <f t="shared" si="102"/>
        <v>5523300</v>
      </c>
    </row>
    <row r="281" spans="1:19">
      <c r="A281" t="s">
        <v>470</v>
      </c>
      <c r="B281">
        <v>170599</v>
      </c>
      <c r="C281">
        <v>261599</v>
      </c>
      <c r="D281">
        <v>158912</v>
      </c>
      <c r="E281">
        <v>244769</v>
      </c>
      <c r="F281">
        <v>493370</v>
      </c>
      <c r="G281" s="29">
        <v>322146</v>
      </c>
      <c r="H281" s="29">
        <v>153968</v>
      </c>
      <c r="I281" s="29">
        <v>131264</v>
      </c>
      <c r="J281" s="24">
        <v>180116</v>
      </c>
      <c r="K281" s="24">
        <v>219396</v>
      </c>
      <c r="L281" s="24">
        <v>220601</v>
      </c>
      <c r="M281" s="24">
        <v>131638</v>
      </c>
      <c r="N281" s="24">
        <v>154696</v>
      </c>
      <c r="O281" s="24">
        <v>158587</v>
      </c>
      <c r="P281" s="24">
        <v>156200</v>
      </c>
      <c r="Q281" s="24">
        <v>165700</v>
      </c>
      <c r="R281" s="24">
        <v>138800</v>
      </c>
      <c r="S281" s="24">
        <v>127000</v>
      </c>
    </row>
    <row r="282" spans="1:19">
      <c r="A282" t="s">
        <v>471</v>
      </c>
      <c r="B282">
        <v>7438410</v>
      </c>
      <c r="C282">
        <v>7426844</v>
      </c>
      <c r="D282">
        <v>9469374</v>
      </c>
      <c r="E282">
        <v>10072004</v>
      </c>
      <c r="F282">
        <v>9532409</v>
      </c>
      <c r="G282" s="29">
        <v>8310341</v>
      </c>
      <c r="H282" s="29">
        <v>7940650</v>
      </c>
      <c r="I282" s="29">
        <v>6342240</v>
      </c>
      <c r="J282" s="24">
        <v>6133975</v>
      </c>
      <c r="K282" s="24">
        <v>6357918</v>
      </c>
      <c r="L282" s="24">
        <v>5857663</v>
      </c>
      <c r="M282" s="24">
        <v>5691943</v>
      </c>
      <c r="N282" s="24">
        <v>4999458</v>
      </c>
      <c r="O282" s="24">
        <v>4905680</v>
      </c>
      <c r="P282" s="24">
        <v>4916800</v>
      </c>
      <c r="Q282" s="24">
        <v>4974800</v>
      </c>
      <c r="R282" s="24">
        <v>4872100</v>
      </c>
      <c r="S282" s="24">
        <v>4113000</v>
      </c>
    </row>
    <row r="283" spans="1:19">
      <c r="A283" t="s">
        <v>472</v>
      </c>
      <c r="B283">
        <v>82000</v>
      </c>
      <c r="C283">
        <v>82000</v>
      </c>
      <c r="D283">
        <v>230194</v>
      </c>
      <c r="E283">
        <v>168273</v>
      </c>
      <c r="F283">
        <v>295077</v>
      </c>
      <c r="G283" s="29">
        <v>156870</v>
      </c>
      <c r="H283" s="29">
        <v>270736</v>
      </c>
      <c r="I283" s="29">
        <v>301277</v>
      </c>
      <c r="J283" s="24">
        <v>463922</v>
      </c>
      <c r="K283" s="24">
        <v>302770</v>
      </c>
      <c r="L283" s="24">
        <v>447391</v>
      </c>
      <c r="M283" s="24">
        <v>365637</v>
      </c>
      <c r="N283" s="24">
        <v>434222</v>
      </c>
      <c r="O283" s="24">
        <v>461017</v>
      </c>
      <c r="P283" s="24">
        <v>551800</v>
      </c>
      <c r="Q283" s="24">
        <v>503600</v>
      </c>
      <c r="R283" s="24">
        <v>615600</v>
      </c>
      <c r="S283" s="24">
        <v>369200</v>
      </c>
    </row>
    <row r="284" spans="1:19">
      <c r="A284" t="s">
        <v>473</v>
      </c>
      <c r="B284">
        <v>966339</v>
      </c>
      <c r="C284">
        <v>966339</v>
      </c>
      <c r="D284">
        <v>773891</v>
      </c>
      <c r="E284">
        <v>1464746</v>
      </c>
      <c r="F284">
        <v>1985207</v>
      </c>
      <c r="G284" s="29">
        <v>2705866</v>
      </c>
      <c r="H284" s="29">
        <v>1034072</v>
      </c>
      <c r="I284" s="29">
        <v>1347319</v>
      </c>
      <c r="J284" s="24">
        <v>1554334</v>
      </c>
      <c r="K284" s="24">
        <v>1582310</v>
      </c>
      <c r="L284" s="24">
        <v>1367526</v>
      </c>
      <c r="M284" s="24">
        <v>1139603</v>
      </c>
      <c r="N284" s="24">
        <v>1299226</v>
      </c>
      <c r="O284" s="24">
        <v>1039300</v>
      </c>
      <c r="P284" s="24">
        <v>1048600</v>
      </c>
      <c r="Q284" s="24">
        <v>957800</v>
      </c>
      <c r="R284" s="24">
        <v>1168400</v>
      </c>
      <c r="S284" s="24">
        <v>914100</v>
      </c>
    </row>
    <row r="285" spans="1:19">
      <c r="G285" s="29"/>
      <c r="H285" s="29"/>
      <c r="I285" s="29"/>
      <c r="J285" s="24"/>
      <c r="K285" s="24"/>
      <c r="L285" s="24"/>
      <c r="M285" s="24"/>
      <c r="N285" s="24"/>
      <c r="O285" s="24"/>
      <c r="P285" s="24"/>
      <c r="Q285" s="24"/>
      <c r="R285" s="24"/>
      <c r="S285" s="24"/>
    </row>
    <row r="286" spans="1:19">
      <c r="A286" s="23" t="s">
        <v>1003</v>
      </c>
      <c r="D286">
        <f>SUBTOTAL(9,D287:D287)</f>
        <v>0</v>
      </c>
      <c r="E286">
        <f>SUBTOTAL(9,E287:E287)</f>
        <v>8642</v>
      </c>
      <c r="G286" s="29"/>
      <c r="H286" s="29"/>
      <c r="I286" s="29"/>
      <c r="J286" s="24"/>
      <c r="K286" s="24"/>
      <c r="L286" s="24"/>
      <c r="M286" s="24"/>
      <c r="N286" s="24"/>
      <c r="O286" s="24"/>
      <c r="P286" s="24"/>
      <c r="Q286" s="24"/>
      <c r="R286" s="24"/>
      <c r="S286" s="24"/>
    </row>
    <row r="287" spans="1:19">
      <c r="A287" t="s">
        <v>1002</v>
      </c>
      <c r="D287">
        <v>0</v>
      </c>
      <c r="E287">
        <v>8642</v>
      </c>
      <c r="G287" s="29"/>
      <c r="H287" s="29"/>
      <c r="I287" s="29"/>
      <c r="J287" s="24"/>
      <c r="K287" s="24"/>
      <c r="L287" s="24"/>
      <c r="M287" s="24"/>
      <c r="N287" s="24"/>
      <c r="O287" s="24"/>
      <c r="P287" s="24"/>
      <c r="Q287" s="24"/>
      <c r="R287" s="24"/>
      <c r="S287" s="24"/>
    </row>
    <row r="288" spans="1:19">
      <c r="A288" s="33"/>
      <c r="B288" s="33"/>
      <c r="C288" s="33"/>
      <c r="D288" s="34"/>
      <c r="E288" s="34"/>
      <c r="F288" s="34"/>
      <c r="G288" s="34"/>
      <c r="H288" s="34"/>
      <c r="I288" s="34"/>
      <c r="J288" s="33"/>
      <c r="K288" s="33"/>
      <c r="L288" s="33"/>
      <c r="M288" s="33"/>
      <c r="N288" s="33"/>
      <c r="O288" s="33"/>
      <c r="P288" s="33"/>
      <c r="Q288" s="33"/>
      <c r="R288" s="33"/>
      <c r="S288" s="33"/>
    </row>
    <row r="289" spans="1:19">
      <c r="A289" s="23" t="s">
        <v>474</v>
      </c>
      <c r="B289" s="53">
        <f>SUBTOTAL(9,B290:B301)</f>
        <v>47924509</v>
      </c>
      <c r="C289" s="53">
        <f t="shared" ref="C289:S289" si="103">SUBTOTAL(9,C290:C301)</f>
        <v>46863584</v>
      </c>
      <c r="D289" s="53">
        <f t="shared" si="103"/>
        <v>44072872</v>
      </c>
      <c r="E289" s="53">
        <f t="shared" si="103"/>
        <v>47105297</v>
      </c>
      <c r="F289" s="53">
        <f t="shared" si="103"/>
        <v>47509170</v>
      </c>
      <c r="G289" s="53">
        <f t="shared" si="103"/>
        <v>45914893</v>
      </c>
      <c r="H289" s="53">
        <f t="shared" si="103"/>
        <v>47104309</v>
      </c>
      <c r="I289" s="53">
        <f t="shared" si="103"/>
        <v>43802098</v>
      </c>
      <c r="J289" s="23">
        <f t="shared" si="103"/>
        <v>55536492</v>
      </c>
      <c r="K289" s="23">
        <f t="shared" si="103"/>
        <v>50773810</v>
      </c>
      <c r="L289" s="23">
        <f t="shared" si="103"/>
        <v>47983882</v>
      </c>
      <c r="M289" s="23">
        <f t="shared" si="103"/>
        <v>47472614</v>
      </c>
      <c r="N289" s="23">
        <f t="shared" si="103"/>
        <v>48151153</v>
      </c>
      <c r="O289" s="23">
        <f t="shared" si="103"/>
        <v>46713785</v>
      </c>
      <c r="P289" s="23">
        <f t="shared" si="103"/>
        <v>40050600</v>
      </c>
      <c r="Q289" s="23">
        <f t="shared" si="103"/>
        <v>35886100</v>
      </c>
      <c r="R289" s="23">
        <f t="shared" si="103"/>
        <v>34504600</v>
      </c>
      <c r="S289" s="23">
        <f t="shared" si="103"/>
        <v>26811600</v>
      </c>
    </row>
    <row r="290" spans="1:19">
      <c r="A290" t="s">
        <v>475</v>
      </c>
      <c r="B290">
        <v>50000</v>
      </c>
      <c r="C290">
        <v>50000</v>
      </c>
      <c r="D290">
        <v>38022</v>
      </c>
      <c r="E290">
        <v>29228</v>
      </c>
      <c r="F290">
        <v>98521</v>
      </c>
      <c r="G290" s="29">
        <v>17170</v>
      </c>
      <c r="H290" s="29">
        <v>43068</v>
      </c>
      <c r="I290" s="29">
        <v>64967</v>
      </c>
      <c r="J290" s="24">
        <v>77372</v>
      </c>
      <c r="K290" s="24">
        <v>19063</v>
      </c>
      <c r="L290" s="24">
        <v>24687</v>
      </c>
      <c r="M290" s="24">
        <v>10168</v>
      </c>
      <c r="N290" s="24">
        <v>94572</v>
      </c>
      <c r="O290" s="24">
        <v>213900</v>
      </c>
      <c r="P290" s="24">
        <v>391200</v>
      </c>
      <c r="Q290" s="24">
        <v>214000</v>
      </c>
      <c r="R290" s="24">
        <v>163300</v>
      </c>
      <c r="S290" s="24">
        <v>233500</v>
      </c>
    </row>
    <row r="291" spans="1:19">
      <c r="A291" t="s">
        <v>476</v>
      </c>
      <c r="B291">
        <v>5762151</v>
      </c>
      <c r="C291">
        <v>5762151</v>
      </c>
      <c r="D291">
        <v>5352258</v>
      </c>
      <c r="E291">
        <v>6046266</v>
      </c>
      <c r="F291">
        <v>6036391</v>
      </c>
      <c r="G291" s="29">
        <v>6657250</v>
      </c>
      <c r="H291" s="29">
        <v>8643557</v>
      </c>
      <c r="I291" s="29">
        <v>8860633</v>
      </c>
      <c r="J291" s="24">
        <v>9907302</v>
      </c>
      <c r="K291" s="24">
        <v>9281483</v>
      </c>
      <c r="L291" s="24">
        <v>10175830</v>
      </c>
      <c r="M291" s="24">
        <v>10016112</v>
      </c>
      <c r="N291" s="24">
        <v>7608468</v>
      </c>
      <c r="O291" s="24">
        <v>6710380</v>
      </c>
      <c r="P291" s="24">
        <v>5708700</v>
      </c>
      <c r="Q291" s="24">
        <v>4245500</v>
      </c>
      <c r="R291" s="24">
        <v>6184200</v>
      </c>
      <c r="S291" s="24">
        <v>3152100</v>
      </c>
    </row>
    <row r="292" spans="1:19">
      <c r="A292" t="s">
        <v>477</v>
      </c>
      <c r="B292">
        <v>27618965</v>
      </c>
      <c r="C292">
        <v>26601111</v>
      </c>
      <c r="D292">
        <v>26927993</v>
      </c>
      <c r="E292">
        <v>27671376</v>
      </c>
      <c r="F292">
        <v>28678396</v>
      </c>
      <c r="G292" s="29">
        <v>28111391</v>
      </c>
      <c r="H292" s="29">
        <v>25577277</v>
      </c>
      <c r="I292" s="29">
        <v>23622955</v>
      </c>
      <c r="J292" s="24">
        <v>29533868</v>
      </c>
      <c r="K292" s="24">
        <v>25734545</v>
      </c>
      <c r="L292" s="24">
        <v>22997760</v>
      </c>
      <c r="M292" s="24">
        <v>22779156</v>
      </c>
      <c r="N292" s="24">
        <v>20621194</v>
      </c>
      <c r="O292" s="24">
        <v>21200366</v>
      </c>
      <c r="P292" s="24">
        <v>20398600</v>
      </c>
      <c r="Q292" s="24">
        <v>19202000</v>
      </c>
      <c r="R292" s="24">
        <v>17868200</v>
      </c>
      <c r="S292" s="24">
        <v>16970100</v>
      </c>
    </row>
    <row r="293" spans="1:19">
      <c r="A293" t="s">
        <v>478</v>
      </c>
      <c r="B293">
        <v>4221904</v>
      </c>
      <c r="C293">
        <v>4221904</v>
      </c>
      <c r="D293">
        <v>2191090</v>
      </c>
      <c r="E293">
        <v>2072746</v>
      </c>
      <c r="F293">
        <v>3124979</v>
      </c>
      <c r="G293" s="29">
        <v>3170443</v>
      </c>
      <c r="H293" s="29">
        <v>3358706</v>
      </c>
      <c r="I293" s="29">
        <v>4131257</v>
      </c>
      <c r="J293" s="24">
        <v>4329878</v>
      </c>
      <c r="K293" s="24">
        <v>4277692</v>
      </c>
      <c r="L293" s="24">
        <v>4322068</v>
      </c>
      <c r="M293" s="24">
        <v>3844037</v>
      </c>
      <c r="N293" s="24">
        <v>5138736</v>
      </c>
      <c r="O293" s="24">
        <v>4392898</v>
      </c>
      <c r="P293" s="24">
        <v>4740600</v>
      </c>
      <c r="Q293" s="24">
        <v>4617600</v>
      </c>
      <c r="R293" s="24">
        <v>4469700</v>
      </c>
      <c r="S293" s="24">
        <v>2256000</v>
      </c>
    </row>
    <row r="294" spans="1:19">
      <c r="A294" t="s">
        <v>479</v>
      </c>
      <c r="B294">
        <v>185500</v>
      </c>
      <c r="C294">
        <v>185500</v>
      </c>
      <c r="D294">
        <v>150578</v>
      </c>
      <c r="E294">
        <v>55893</v>
      </c>
      <c r="F294">
        <v>52204</v>
      </c>
      <c r="G294" s="29">
        <v>22396</v>
      </c>
      <c r="H294" s="29">
        <v>69625</v>
      </c>
      <c r="I294" s="29">
        <v>142675</v>
      </c>
      <c r="J294" s="24">
        <v>134646</v>
      </c>
      <c r="K294" s="24">
        <v>148359</v>
      </c>
      <c r="L294" s="24">
        <v>291756</v>
      </c>
      <c r="M294" s="24">
        <v>-337</v>
      </c>
      <c r="N294" s="24">
        <v>302811</v>
      </c>
      <c r="O294" s="24">
        <v>265847</v>
      </c>
      <c r="P294" s="24">
        <v>361600</v>
      </c>
      <c r="Q294" s="24">
        <v>261000</v>
      </c>
      <c r="R294" s="24">
        <v>374800</v>
      </c>
      <c r="S294" s="24">
        <v>248000</v>
      </c>
    </row>
    <row r="295" spans="1:19">
      <c r="A295" t="s">
        <v>480</v>
      </c>
      <c r="B295">
        <v>1165000</v>
      </c>
      <c r="C295">
        <v>705869</v>
      </c>
      <c r="D295">
        <v>1118821</v>
      </c>
      <c r="E295">
        <v>1169912</v>
      </c>
      <c r="F295">
        <v>1154612</v>
      </c>
      <c r="G295" s="29">
        <v>1134802</v>
      </c>
      <c r="H295" s="29">
        <v>1291345</v>
      </c>
      <c r="I295" s="29">
        <v>1073582</v>
      </c>
      <c r="J295" s="24">
        <v>916035</v>
      </c>
      <c r="K295" s="24">
        <v>1175743</v>
      </c>
      <c r="L295" s="24">
        <v>913004</v>
      </c>
      <c r="M295" s="24">
        <v>934357</v>
      </c>
      <c r="N295" s="24">
        <v>710794</v>
      </c>
      <c r="O295" s="24">
        <v>623182</v>
      </c>
      <c r="P295" s="24">
        <v>641900</v>
      </c>
      <c r="Q295" s="24">
        <v>719700</v>
      </c>
      <c r="R295" s="24">
        <v>584600</v>
      </c>
      <c r="S295" s="24">
        <v>610600</v>
      </c>
    </row>
    <row r="296" spans="1:19">
      <c r="A296" t="s">
        <v>481</v>
      </c>
      <c r="B296">
        <v>1320631</v>
      </c>
      <c r="C296">
        <v>1779762</v>
      </c>
      <c r="D296">
        <v>1838249</v>
      </c>
      <c r="E296">
        <v>1896320</v>
      </c>
      <c r="F296">
        <v>1552695</v>
      </c>
      <c r="G296" s="29">
        <v>1511225</v>
      </c>
      <c r="H296" s="29">
        <v>1437172</v>
      </c>
      <c r="I296" s="29">
        <v>1211535</v>
      </c>
      <c r="J296" s="24">
        <v>1064420</v>
      </c>
      <c r="K296" s="24">
        <v>1113248</v>
      </c>
      <c r="L296" s="24">
        <v>1027775</v>
      </c>
      <c r="M296" s="24">
        <v>989116</v>
      </c>
      <c r="N296" s="24">
        <v>844882</v>
      </c>
      <c r="O296" s="24">
        <v>809165</v>
      </c>
      <c r="P296" s="24">
        <v>875600</v>
      </c>
      <c r="Q296" s="24">
        <v>873100</v>
      </c>
      <c r="R296" s="24">
        <v>802000</v>
      </c>
      <c r="S296" s="24">
        <v>820100</v>
      </c>
    </row>
    <row r="297" spans="1:19">
      <c r="A297" t="s">
        <v>482</v>
      </c>
      <c r="B297">
        <v>2280032</v>
      </c>
      <c r="C297">
        <v>2280032</v>
      </c>
      <c r="D297">
        <v>1582468</v>
      </c>
      <c r="E297">
        <v>1541202</v>
      </c>
      <c r="F297">
        <v>1518779</v>
      </c>
      <c r="G297" s="29">
        <v>1639489</v>
      </c>
      <c r="H297" s="29">
        <v>1893068</v>
      </c>
      <c r="I297" s="29">
        <v>1824296</v>
      </c>
      <c r="J297" s="24">
        <v>2183773</v>
      </c>
      <c r="K297" s="24">
        <v>2359446</v>
      </c>
      <c r="L297" s="24">
        <v>1973961</v>
      </c>
      <c r="M297" s="24">
        <v>2036757</v>
      </c>
      <c r="N297" s="24">
        <v>1988180</v>
      </c>
      <c r="O297" s="24">
        <v>1478367</v>
      </c>
      <c r="P297" s="24">
        <v>1506000</v>
      </c>
      <c r="Q297" s="24">
        <v>1456000</v>
      </c>
      <c r="R297" s="24">
        <v>1335700</v>
      </c>
      <c r="S297" s="24">
        <v>1257800</v>
      </c>
    </row>
    <row r="298" spans="1:19">
      <c r="A298" t="s">
        <v>483</v>
      </c>
      <c r="B298">
        <v>1161698</v>
      </c>
      <c r="C298">
        <v>1118627</v>
      </c>
      <c r="D298">
        <v>1207061</v>
      </c>
      <c r="E298">
        <v>1291481</v>
      </c>
      <c r="F298">
        <v>1164157</v>
      </c>
      <c r="G298" s="29">
        <v>753815</v>
      </c>
      <c r="H298" s="29">
        <v>862933</v>
      </c>
      <c r="I298" s="29">
        <v>785444</v>
      </c>
      <c r="J298" s="24">
        <v>1036726</v>
      </c>
      <c r="K298" s="24">
        <v>465671</v>
      </c>
      <c r="L298" s="24">
        <v>628907</v>
      </c>
      <c r="M298" s="24">
        <v>447745</v>
      </c>
      <c r="N298" s="24">
        <v>955707</v>
      </c>
      <c r="O298" s="24">
        <v>861093</v>
      </c>
      <c r="P298" s="24">
        <v>930600</v>
      </c>
      <c r="Q298" s="24">
        <v>1090100</v>
      </c>
      <c r="R298" s="24">
        <v>695400</v>
      </c>
      <c r="S298" s="24">
        <v>368300</v>
      </c>
    </row>
    <row r="299" spans="1:19">
      <c r="A299" t="s">
        <v>484</v>
      </c>
      <c r="B299">
        <v>4059395</v>
      </c>
      <c r="C299">
        <v>4059395</v>
      </c>
      <c r="D299">
        <v>3646242</v>
      </c>
      <c r="E299">
        <v>5253259</v>
      </c>
      <c r="F299">
        <v>4081620</v>
      </c>
      <c r="G299" s="29">
        <v>2815082</v>
      </c>
      <c r="H299" s="29">
        <v>3857802</v>
      </c>
      <c r="I299" s="29">
        <v>1978878</v>
      </c>
      <c r="J299" s="24">
        <v>6246389</v>
      </c>
      <c r="K299" s="24">
        <v>5902002</v>
      </c>
      <c r="L299" s="24">
        <v>5337735</v>
      </c>
      <c r="M299" s="24">
        <v>6350000</v>
      </c>
      <c r="N299" s="24">
        <v>9325013</v>
      </c>
      <c r="O299" s="24">
        <v>9759520</v>
      </c>
      <c r="P299" s="24">
        <v>4462900</v>
      </c>
      <c r="Q299" s="24">
        <v>3168500</v>
      </c>
      <c r="R299" s="24">
        <v>1995000</v>
      </c>
      <c r="S299" s="24">
        <v>864900</v>
      </c>
    </row>
    <row r="300" spans="1:19">
      <c r="A300" s="24" t="s">
        <v>1000</v>
      </c>
      <c r="B300">
        <v>0</v>
      </c>
      <c r="G300" s="29"/>
      <c r="H300" s="29"/>
      <c r="I300" s="29"/>
      <c r="J300" s="24">
        <v>106083</v>
      </c>
      <c r="K300" s="24">
        <v>296558</v>
      </c>
      <c r="L300" s="24">
        <v>290399</v>
      </c>
      <c r="M300" s="24">
        <v>57755</v>
      </c>
      <c r="N300" s="24">
        <v>512543</v>
      </c>
      <c r="O300" s="24">
        <v>366476</v>
      </c>
      <c r="P300" s="24">
        <v>0</v>
      </c>
      <c r="Q300" s="24">
        <v>0</v>
      </c>
      <c r="R300" s="24">
        <v>0</v>
      </c>
      <c r="S300" s="24">
        <v>0</v>
      </c>
    </row>
    <row r="301" spans="1:19">
      <c r="A301" t="s">
        <v>485</v>
      </c>
      <c r="B301">
        <v>99233</v>
      </c>
      <c r="C301">
        <v>99233</v>
      </c>
      <c r="D301">
        <v>20090</v>
      </c>
      <c r="E301">
        <v>77614</v>
      </c>
      <c r="F301">
        <v>46816</v>
      </c>
      <c r="G301" s="29">
        <v>81830</v>
      </c>
      <c r="H301" s="29">
        <v>69756</v>
      </c>
      <c r="I301" s="29">
        <v>105876</v>
      </c>
      <c r="J301" s="24">
        <v>0</v>
      </c>
      <c r="K301" s="24">
        <v>0</v>
      </c>
      <c r="L301" s="24">
        <v>0</v>
      </c>
      <c r="M301" s="24">
        <v>7748</v>
      </c>
      <c r="N301" s="24">
        <v>48253</v>
      </c>
      <c r="O301" s="24">
        <v>32591</v>
      </c>
      <c r="P301" s="24">
        <v>32900</v>
      </c>
      <c r="Q301" s="24">
        <v>38600</v>
      </c>
      <c r="R301" s="24">
        <v>31700</v>
      </c>
      <c r="S301" s="24">
        <v>30200</v>
      </c>
    </row>
    <row r="302" spans="1:19">
      <c r="A302" s="33"/>
      <c r="B302" s="33"/>
      <c r="C302" s="33"/>
      <c r="D302" s="34"/>
      <c r="E302" s="34"/>
      <c r="F302" s="34"/>
      <c r="G302" s="34"/>
      <c r="H302" s="34"/>
      <c r="I302" s="34"/>
      <c r="J302" s="33"/>
      <c r="K302" s="33"/>
      <c r="L302" s="33"/>
      <c r="M302" s="33"/>
      <c r="N302" s="33"/>
      <c r="O302" s="33"/>
      <c r="P302" s="33"/>
      <c r="Q302" s="33"/>
      <c r="R302" s="33"/>
      <c r="S302" s="33"/>
    </row>
    <row r="303" spans="1:19">
      <c r="A303" s="23" t="s">
        <v>486</v>
      </c>
      <c r="B303" s="53">
        <f t="shared" ref="B303:S303" si="104">SUBTOTAL(9,B305:B360)</f>
        <v>1767297</v>
      </c>
      <c r="C303" s="53">
        <f t="shared" si="104"/>
        <v>1755654</v>
      </c>
      <c r="D303" s="53">
        <f t="shared" si="104"/>
        <v>-6656</v>
      </c>
      <c r="E303" s="53">
        <f t="shared" si="104"/>
        <v>5551127</v>
      </c>
      <c r="F303" s="53">
        <f t="shared" si="104"/>
        <v>3217677</v>
      </c>
      <c r="G303" s="53">
        <f t="shared" si="104"/>
        <v>3410040</v>
      </c>
      <c r="H303" s="53">
        <f t="shared" si="104"/>
        <v>3206501</v>
      </c>
      <c r="I303" s="53">
        <f t="shared" si="104"/>
        <v>4272045</v>
      </c>
      <c r="J303" s="23">
        <f t="shared" si="104"/>
        <v>5765223</v>
      </c>
      <c r="K303" s="23">
        <f t="shared" si="104"/>
        <v>7103486</v>
      </c>
      <c r="L303" s="23">
        <f t="shared" si="104"/>
        <v>5820147</v>
      </c>
      <c r="M303" s="23">
        <f t="shared" si="104"/>
        <v>7869531</v>
      </c>
      <c r="N303" s="23">
        <f t="shared" si="104"/>
        <v>7832448</v>
      </c>
      <c r="O303" s="23">
        <f t="shared" si="104"/>
        <v>7290543</v>
      </c>
      <c r="P303" s="23">
        <f t="shared" si="104"/>
        <v>18708700</v>
      </c>
      <c r="Q303" s="23">
        <f t="shared" si="104"/>
        <v>6141700</v>
      </c>
      <c r="R303" s="23">
        <f t="shared" si="104"/>
        <v>5945800</v>
      </c>
      <c r="S303" s="23">
        <f t="shared" si="104"/>
        <v>4899600</v>
      </c>
    </row>
    <row r="304" spans="1:19">
      <c r="A304" s="23"/>
      <c r="B304" s="23"/>
      <c r="C304" s="23"/>
      <c r="E304" s="29"/>
      <c r="F304" s="29"/>
      <c r="G304" s="29"/>
      <c r="H304" s="29"/>
      <c r="I304" s="29"/>
      <c r="J304" s="23"/>
      <c r="K304" s="23"/>
      <c r="L304" s="23"/>
      <c r="M304" s="23"/>
      <c r="N304" s="23"/>
      <c r="O304" s="23"/>
      <c r="P304" s="23"/>
      <c r="Q304" s="23"/>
      <c r="R304" s="23"/>
      <c r="S304" s="23"/>
    </row>
    <row r="305" spans="1:19">
      <c r="A305" s="23" t="s">
        <v>487</v>
      </c>
      <c r="B305" s="53">
        <f t="shared" ref="B305:S305" si="105">SUBTOTAL(9,B306:B309)</f>
        <v>2149755</v>
      </c>
      <c r="C305" s="53">
        <f t="shared" si="105"/>
        <v>2150755</v>
      </c>
      <c r="D305" s="53">
        <f t="shared" si="105"/>
        <v>1788063</v>
      </c>
      <c r="E305" s="53">
        <f t="shared" si="105"/>
        <v>1841334</v>
      </c>
      <c r="F305" s="53">
        <f t="shared" si="105"/>
        <v>1833347</v>
      </c>
      <c r="G305" s="53">
        <f t="shared" si="105"/>
        <v>2145911</v>
      </c>
      <c r="H305" s="53">
        <f t="shared" si="105"/>
        <v>1889218</v>
      </c>
      <c r="I305" s="53">
        <f t="shared" si="105"/>
        <v>1972731</v>
      </c>
      <c r="J305" s="23">
        <f t="shared" si="105"/>
        <v>2217479</v>
      </c>
      <c r="K305" s="23">
        <f t="shared" si="105"/>
        <v>2430923</v>
      </c>
      <c r="L305" s="23">
        <f t="shared" si="105"/>
        <v>2249725</v>
      </c>
      <c r="M305" s="23">
        <f t="shared" si="105"/>
        <v>1796645</v>
      </c>
      <c r="N305" s="23">
        <f t="shared" si="105"/>
        <v>1589445</v>
      </c>
      <c r="O305" s="23">
        <f t="shared" si="105"/>
        <v>1408991</v>
      </c>
      <c r="P305" s="23">
        <f t="shared" si="105"/>
        <v>1521600</v>
      </c>
      <c r="Q305" s="23">
        <f t="shared" si="105"/>
        <v>1315900</v>
      </c>
      <c r="R305" s="23">
        <f t="shared" si="105"/>
        <v>1079200</v>
      </c>
      <c r="S305" s="23">
        <f t="shared" si="105"/>
        <v>945700</v>
      </c>
    </row>
    <row r="306" spans="1:19">
      <c r="A306" t="s">
        <v>488</v>
      </c>
      <c r="B306">
        <v>2075848</v>
      </c>
      <c r="C306">
        <v>2075848</v>
      </c>
      <c r="D306">
        <v>1724052</v>
      </c>
      <c r="E306">
        <v>1766671</v>
      </c>
      <c r="F306">
        <v>1764268</v>
      </c>
      <c r="G306" s="29">
        <v>2073650</v>
      </c>
      <c r="H306" s="29">
        <v>1813899</v>
      </c>
      <c r="I306" s="29">
        <v>1920688</v>
      </c>
      <c r="J306" s="24">
        <v>2127460</v>
      </c>
      <c r="K306" s="24">
        <v>2306420</v>
      </c>
      <c r="L306" s="24">
        <v>2133740</v>
      </c>
      <c r="M306" s="24">
        <v>1707602</v>
      </c>
      <c r="N306" s="24">
        <v>1504391</v>
      </c>
      <c r="O306" s="24">
        <v>1341953</v>
      </c>
      <c r="P306" s="24">
        <v>1425900</v>
      </c>
      <c r="Q306" s="24">
        <v>1253400</v>
      </c>
      <c r="R306" s="24">
        <v>1005400</v>
      </c>
      <c r="S306" s="24">
        <v>875700</v>
      </c>
    </row>
    <row r="307" spans="1:19">
      <c r="A307" t="s">
        <v>489</v>
      </c>
      <c r="B307">
        <v>24398</v>
      </c>
      <c r="C307">
        <v>24398</v>
      </c>
      <c r="D307">
        <v>21422</v>
      </c>
      <c r="E307">
        <v>29869</v>
      </c>
      <c r="F307">
        <v>25181</v>
      </c>
      <c r="G307" s="29">
        <v>17128</v>
      </c>
      <c r="H307" s="29">
        <v>11952</v>
      </c>
      <c r="I307" s="29">
        <v>6584</v>
      </c>
      <c r="J307" s="24">
        <v>21800</v>
      </c>
      <c r="K307" s="24">
        <v>18822</v>
      </c>
      <c r="L307" s="24">
        <v>11610</v>
      </c>
      <c r="M307" s="24">
        <v>13205</v>
      </c>
      <c r="N307" s="24">
        <v>13573</v>
      </c>
      <c r="O307" s="24">
        <v>15771</v>
      </c>
      <c r="P307" s="24">
        <v>10200</v>
      </c>
      <c r="Q307" s="24">
        <v>0</v>
      </c>
      <c r="R307" s="24">
        <v>0</v>
      </c>
      <c r="S307" s="24">
        <v>0</v>
      </c>
    </row>
    <row r="308" spans="1:19">
      <c r="A308" t="s">
        <v>490</v>
      </c>
      <c r="B308">
        <v>13000</v>
      </c>
      <c r="C308">
        <v>14000</v>
      </c>
      <c r="D308">
        <v>11653</v>
      </c>
      <c r="E308">
        <v>13952</v>
      </c>
      <c r="F308">
        <v>12924</v>
      </c>
      <c r="G308" s="29">
        <v>14000</v>
      </c>
      <c r="H308" s="29">
        <v>14000</v>
      </c>
      <c r="I308" s="29">
        <v>19362</v>
      </c>
      <c r="J308" s="24">
        <v>26829</v>
      </c>
      <c r="K308" s="24">
        <v>31864</v>
      </c>
      <c r="L308" s="24">
        <v>19750</v>
      </c>
      <c r="M308" s="24">
        <v>13844</v>
      </c>
      <c r="N308" s="24">
        <v>10056</v>
      </c>
      <c r="O308" s="24">
        <v>11157</v>
      </c>
      <c r="P308" s="24">
        <v>15700</v>
      </c>
      <c r="Q308" s="24">
        <v>12800</v>
      </c>
      <c r="R308" s="24">
        <v>15100</v>
      </c>
      <c r="S308" s="24">
        <v>12200</v>
      </c>
    </row>
    <row r="309" spans="1:19">
      <c r="A309" t="s">
        <v>491</v>
      </c>
      <c r="B309">
        <v>36509</v>
      </c>
      <c r="C309">
        <v>36509</v>
      </c>
      <c r="D309">
        <v>30936</v>
      </c>
      <c r="E309">
        <v>30842</v>
      </c>
      <c r="F309">
        <v>30974</v>
      </c>
      <c r="G309" s="29">
        <v>41133</v>
      </c>
      <c r="H309" s="29">
        <v>49367</v>
      </c>
      <c r="I309" s="29">
        <v>26097</v>
      </c>
      <c r="J309" s="24">
        <v>41390</v>
      </c>
      <c r="K309" s="24">
        <v>73817</v>
      </c>
      <c r="L309" s="24">
        <v>84625</v>
      </c>
      <c r="M309" s="24">
        <v>61994</v>
      </c>
      <c r="N309" s="24">
        <v>61425</v>
      </c>
      <c r="O309" s="24">
        <v>40110</v>
      </c>
      <c r="P309" s="24">
        <v>69800</v>
      </c>
      <c r="Q309" s="24">
        <v>49700</v>
      </c>
      <c r="R309" s="24">
        <v>58700</v>
      </c>
      <c r="S309" s="24">
        <v>57800</v>
      </c>
    </row>
    <row r="310" spans="1:19">
      <c r="E310" s="29"/>
      <c r="F310" s="29"/>
      <c r="G310" s="29"/>
      <c r="H310" s="29"/>
    </row>
    <row r="311" spans="1:19">
      <c r="A311" s="23" t="s">
        <v>492</v>
      </c>
      <c r="B311" s="53">
        <f>SUBTOTAL(9,B312:B317)</f>
        <v>1780545</v>
      </c>
      <c r="C311" s="53">
        <f>SUBTOTAL(9,C312:C317)</f>
        <v>1938762</v>
      </c>
      <c r="D311" s="53">
        <f>SUBTOTAL(9,D312:D317)</f>
        <v>2224701</v>
      </c>
      <c r="E311" s="53">
        <f t="shared" ref="E311:S311" si="106">SUBTOTAL(9,E312:E317)</f>
        <v>3474101</v>
      </c>
      <c r="F311" s="53">
        <f t="shared" si="106"/>
        <v>3419721</v>
      </c>
      <c r="G311" s="53">
        <f t="shared" si="106"/>
        <v>3077353</v>
      </c>
      <c r="H311" s="53">
        <f t="shared" si="106"/>
        <v>2566723</v>
      </c>
      <c r="I311" s="53">
        <f t="shared" si="106"/>
        <v>3072543</v>
      </c>
      <c r="J311" s="53">
        <f t="shared" si="106"/>
        <v>4079962</v>
      </c>
      <c r="K311" s="53">
        <f t="shared" si="106"/>
        <v>5221931</v>
      </c>
      <c r="L311" s="53">
        <f t="shared" si="106"/>
        <v>4882234</v>
      </c>
      <c r="M311" s="53">
        <f t="shared" si="106"/>
        <v>4774139</v>
      </c>
      <c r="N311" s="53">
        <f t="shared" si="106"/>
        <v>4002617</v>
      </c>
      <c r="O311" s="53">
        <f t="shared" si="106"/>
        <v>3925216</v>
      </c>
      <c r="P311" s="53">
        <f t="shared" si="106"/>
        <v>4869800</v>
      </c>
      <c r="Q311" s="53">
        <f t="shared" si="106"/>
        <v>3486000</v>
      </c>
      <c r="R311" s="53">
        <f t="shared" si="106"/>
        <v>3348900</v>
      </c>
      <c r="S311" s="53">
        <f t="shared" si="106"/>
        <v>3337000</v>
      </c>
    </row>
    <row r="312" spans="1:19">
      <c r="A312" t="s">
        <v>493</v>
      </c>
      <c r="B312">
        <v>149471</v>
      </c>
      <c r="C312">
        <v>149006</v>
      </c>
      <c r="D312">
        <v>166515</v>
      </c>
      <c r="E312">
        <v>161244</v>
      </c>
      <c r="F312">
        <v>161758</v>
      </c>
      <c r="G312" s="29">
        <v>212474</v>
      </c>
      <c r="H312" s="29">
        <v>142921</v>
      </c>
      <c r="I312" s="29">
        <v>164177</v>
      </c>
      <c r="J312" s="24">
        <v>149876</v>
      </c>
      <c r="K312" s="24">
        <v>303346</v>
      </c>
      <c r="L312" s="24">
        <v>292056</v>
      </c>
      <c r="M312" s="24">
        <v>234365</v>
      </c>
      <c r="N312" s="24">
        <v>312541</v>
      </c>
      <c r="O312" s="24">
        <v>217810</v>
      </c>
      <c r="P312" s="24">
        <v>274200</v>
      </c>
      <c r="Q312" s="24">
        <v>287800</v>
      </c>
      <c r="R312" s="24">
        <v>294500</v>
      </c>
      <c r="S312" s="24">
        <v>311100</v>
      </c>
    </row>
    <row r="313" spans="1:19">
      <c r="A313" t="s">
        <v>494</v>
      </c>
      <c r="B313">
        <v>22673</v>
      </c>
      <c r="C313">
        <v>59313</v>
      </c>
      <c r="D313">
        <v>391977</v>
      </c>
      <c r="E313">
        <v>1391947</v>
      </c>
      <c r="F313">
        <v>1127487</v>
      </c>
      <c r="G313" s="29">
        <v>466477</v>
      </c>
      <c r="H313" s="29">
        <v>682829</v>
      </c>
      <c r="I313" s="29">
        <v>1264523</v>
      </c>
      <c r="J313" s="24">
        <v>1438248</v>
      </c>
      <c r="K313" s="24">
        <v>1858596</v>
      </c>
      <c r="L313" s="24">
        <v>1451820</v>
      </c>
      <c r="M313" s="24">
        <v>1344933</v>
      </c>
      <c r="N313" s="24">
        <v>1224950</v>
      </c>
      <c r="O313" s="24">
        <v>1056397</v>
      </c>
      <c r="P313" s="24">
        <v>1440000</v>
      </c>
      <c r="Q313" s="24">
        <v>936300</v>
      </c>
      <c r="R313" s="24">
        <v>693200</v>
      </c>
      <c r="S313" s="24">
        <v>702300</v>
      </c>
    </row>
    <row r="314" spans="1:19">
      <c r="A314" t="s">
        <v>495</v>
      </c>
      <c r="B314">
        <v>1398149</v>
      </c>
      <c r="C314">
        <v>1520191</v>
      </c>
      <c r="D314">
        <v>1104778</v>
      </c>
      <c r="E314">
        <v>1496168</v>
      </c>
      <c r="F314">
        <v>1466702</v>
      </c>
      <c r="G314" s="29">
        <v>1790054</v>
      </c>
      <c r="H314" s="29">
        <v>1310885</v>
      </c>
      <c r="I314" s="29">
        <v>1215532</v>
      </c>
      <c r="J314" s="24">
        <v>1925067</v>
      </c>
      <c r="K314" s="24">
        <v>2465609</v>
      </c>
      <c r="L314" s="24">
        <v>2510888</v>
      </c>
      <c r="M314" s="24">
        <v>2692483</v>
      </c>
      <c r="N314" s="24">
        <v>1948843</v>
      </c>
      <c r="O314" s="24">
        <v>2136995</v>
      </c>
      <c r="P314" s="24">
        <v>2272100</v>
      </c>
      <c r="Q314" s="24">
        <v>1826900</v>
      </c>
      <c r="R314" s="24">
        <v>1984000</v>
      </c>
      <c r="S314" s="24">
        <v>1924700</v>
      </c>
    </row>
    <row r="315" spans="1:19">
      <c r="A315" t="s">
        <v>496</v>
      </c>
      <c r="B315">
        <v>210252</v>
      </c>
      <c r="C315">
        <v>210252</v>
      </c>
      <c r="D315">
        <v>556902</v>
      </c>
      <c r="E315">
        <v>400480</v>
      </c>
      <c r="F315">
        <v>662484</v>
      </c>
      <c r="G315" s="29">
        <v>548810</v>
      </c>
      <c r="H315" s="29">
        <v>430088</v>
      </c>
      <c r="I315" s="29">
        <v>428311</v>
      </c>
      <c r="J315" s="24">
        <v>566771</v>
      </c>
      <c r="K315" s="24">
        <v>594380</v>
      </c>
      <c r="L315" s="24">
        <v>627470</v>
      </c>
      <c r="M315" s="24">
        <v>502358</v>
      </c>
      <c r="N315" s="24">
        <v>516283</v>
      </c>
      <c r="O315" s="24">
        <v>514014</v>
      </c>
      <c r="P315" s="24">
        <v>883500</v>
      </c>
      <c r="Q315" s="24">
        <v>435000</v>
      </c>
      <c r="R315" s="24">
        <v>377200</v>
      </c>
      <c r="S315" s="24">
        <v>398900</v>
      </c>
    </row>
    <row r="316" spans="1:19">
      <c r="A316" t="s">
        <v>497</v>
      </c>
      <c r="D316">
        <v>0</v>
      </c>
      <c r="E316">
        <v>0</v>
      </c>
      <c r="F316">
        <v>0</v>
      </c>
      <c r="G316" s="29">
        <v>59538</v>
      </c>
      <c r="H316" s="29">
        <v>0</v>
      </c>
      <c r="I316" s="29">
        <v>0</v>
      </c>
    </row>
    <row r="317" spans="1:19">
      <c r="A317" s="24" t="s">
        <v>960</v>
      </c>
      <c r="B317" s="24">
        <v>0</v>
      </c>
      <c r="C317" s="24">
        <v>0</v>
      </c>
      <c r="D317">
        <v>4529</v>
      </c>
      <c r="E317">
        <v>24262</v>
      </c>
      <c r="F317">
        <v>1290</v>
      </c>
      <c r="G317" s="29"/>
      <c r="H317" s="29"/>
    </row>
    <row r="318" spans="1:19">
      <c r="E318" s="29"/>
      <c r="F318" s="29"/>
      <c r="G318" s="29"/>
      <c r="H318" s="29"/>
    </row>
    <row r="319" spans="1:19">
      <c r="A319" s="23" t="s">
        <v>498</v>
      </c>
      <c r="B319" s="53">
        <f t="shared" ref="B319:S319" si="107">SUBTOTAL(9,B320:B322)</f>
        <v>337725</v>
      </c>
      <c r="C319" s="53">
        <f t="shared" si="107"/>
        <v>337725</v>
      </c>
      <c r="D319" s="53">
        <f t="shared" si="107"/>
        <v>77193</v>
      </c>
      <c r="E319" s="53">
        <f t="shared" si="107"/>
        <v>186841</v>
      </c>
      <c r="F319" s="53">
        <f t="shared" si="107"/>
        <v>120547</v>
      </c>
      <c r="G319" s="53">
        <f t="shared" si="107"/>
        <v>70221</v>
      </c>
      <c r="H319" s="53">
        <f t="shared" si="107"/>
        <v>54413</v>
      </c>
      <c r="I319" s="53">
        <f t="shared" si="107"/>
        <v>72617</v>
      </c>
      <c r="J319" s="23">
        <f t="shared" si="107"/>
        <v>390930</v>
      </c>
      <c r="K319" s="23">
        <f t="shared" si="107"/>
        <v>362397</v>
      </c>
      <c r="L319" s="23">
        <f t="shared" si="107"/>
        <v>377833</v>
      </c>
      <c r="M319" s="23">
        <f t="shared" si="107"/>
        <v>342441</v>
      </c>
      <c r="N319" s="23">
        <f t="shared" si="107"/>
        <v>334367</v>
      </c>
      <c r="O319" s="23">
        <f t="shared" si="107"/>
        <v>341181</v>
      </c>
      <c r="P319" s="23">
        <f t="shared" si="107"/>
        <v>322700</v>
      </c>
      <c r="Q319" s="23">
        <f t="shared" si="107"/>
        <v>323200</v>
      </c>
      <c r="R319" s="23">
        <f t="shared" si="107"/>
        <v>287000</v>
      </c>
      <c r="S319" s="23">
        <f t="shared" si="107"/>
        <v>335800</v>
      </c>
    </row>
    <row r="320" spans="1:19">
      <c r="A320" t="s">
        <v>499</v>
      </c>
      <c r="B320">
        <v>2725</v>
      </c>
      <c r="C320">
        <v>2725</v>
      </c>
      <c r="D320">
        <v>1658</v>
      </c>
      <c r="E320">
        <v>20744</v>
      </c>
      <c r="F320">
        <v>3015</v>
      </c>
      <c r="G320" s="29">
        <v>3402</v>
      </c>
      <c r="H320" s="29">
        <v>10109</v>
      </c>
      <c r="I320" s="29">
        <v>10062</v>
      </c>
      <c r="J320" s="24">
        <v>10109</v>
      </c>
      <c r="K320" s="24">
        <v>11889</v>
      </c>
      <c r="L320" s="24">
        <v>15363</v>
      </c>
      <c r="M320" s="24">
        <v>7765</v>
      </c>
      <c r="N320" s="24">
        <v>7646</v>
      </c>
      <c r="O320" s="24">
        <v>19184</v>
      </c>
      <c r="P320" s="24">
        <v>322700</v>
      </c>
      <c r="Q320" s="24">
        <v>323200</v>
      </c>
      <c r="R320" s="24">
        <v>287000</v>
      </c>
      <c r="S320" s="24">
        <v>335800</v>
      </c>
    </row>
    <row r="321" spans="1:19">
      <c r="A321" t="s">
        <v>500</v>
      </c>
      <c r="B321">
        <v>20000</v>
      </c>
      <c r="C321">
        <v>20000</v>
      </c>
      <c r="D321">
        <v>13797</v>
      </c>
      <c r="E321">
        <v>15420</v>
      </c>
      <c r="F321">
        <v>16622</v>
      </c>
      <c r="G321" s="29">
        <v>10718</v>
      </c>
      <c r="H321" s="29">
        <v>21130</v>
      </c>
      <c r="I321" s="29">
        <v>8856</v>
      </c>
      <c r="J321" s="24">
        <v>32395</v>
      </c>
      <c r="K321" s="24">
        <v>1053</v>
      </c>
      <c r="L321" s="24">
        <v>15900</v>
      </c>
      <c r="M321" s="24">
        <v>28577</v>
      </c>
      <c r="N321" s="24">
        <v>0</v>
      </c>
      <c r="O321" s="24">
        <v>14709</v>
      </c>
      <c r="P321" s="24">
        <v>0</v>
      </c>
      <c r="Q321" s="24">
        <v>0</v>
      </c>
      <c r="R321" s="24">
        <v>0</v>
      </c>
      <c r="S321" s="24">
        <v>0</v>
      </c>
    </row>
    <row r="322" spans="1:19">
      <c r="A322" t="s">
        <v>501</v>
      </c>
      <c r="B322">
        <v>315000</v>
      </c>
      <c r="C322">
        <v>315000</v>
      </c>
      <c r="D322">
        <v>61738</v>
      </c>
      <c r="E322">
        <v>150677</v>
      </c>
      <c r="F322">
        <v>100910</v>
      </c>
      <c r="G322" s="29">
        <v>56101</v>
      </c>
      <c r="H322" s="29">
        <v>23174</v>
      </c>
      <c r="I322" s="29">
        <v>53699</v>
      </c>
      <c r="J322" s="24">
        <v>348426</v>
      </c>
      <c r="K322" s="24">
        <v>349455</v>
      </c>
      <c r="L322" s="24">
        <v>346570</v>
      </c>
      <c r="M322" s="24">
        <v>306099</v>
      </c>
      <c r="N322" s="24">
        <v>326721</v>
      </c>
      <c r="O322" s="24">
        <v>307288</v>
      </c>
      <c r="P322" s="24">
        <v>0</v>
      </c>
      <c r="Q322" s="24">
        <v>0</v>
      </c>
      <c r="R322" s="24">
        <v>0</v>
      </c>
      <c r="S322" s="24">
        <v>0</v>
      </c>
    </row>
    <row r="323" spans="1:19">
      <c r="E323" s="29"/>
      <c r="F323" s="29"/>
      <c r="G323" s="29"/>
      <c r="H323" s="29"/>
      <c r="I323" s="29"/>
    </row>
    <row r="324" spans="1:19">
      <c r="A324" s="23" t="s">
        <v>502</v>
      </c>
      <c r="B324" s="53">
        <f t="shared" ref="B324:S324" si="108">SUBTOTAL(9,B325:B325)</f>
        <v>236296</v>
      </c>
      <c r="C324" s="53">
        <f t="shared" si="108"/>
        <v>246296</v>
      </c>
      <c r="D324" s="53">
        <f t="shared" si="108"/>
        <v>343199</v>
      </c>
      <c r="E324" s="53">
        <f t="shared" si="108"/>
        <v>339931</v>
      </c>
      <c r="F324" s="53">
        <f t="shared" si="108"/>
        <v>251812</v>
      </c>
      <c r="G324" s="53">
        <f t="shared" si="108"/>
        <v>375473</v>
      </c>
      <c r="H324" s="53">
        <f t="shared" si="108"/>
        <v>176540</v>
      </c>
      <c r="I324" s="53">
        <f t="shared" si="108"/>
        <v>171246</v>
      </c>
      <c r="J324" s="23">
        <f t="shared" si="108"/>
        <v>177598</v>
      </c>
      <c r="K324" s="23">
        <f t="shared" si="108"/>
        <v>176398</v>
      </c>
      <c r="L324" s="23">
        <f t="shared" si="108"/>
        <v>193360</v>
      </c>
      <c r="M324" s="23">
        <f t="shared" si="108"/>
        <v>161672</v>
      </c>
      <c r="N324" s="23">
        <f t="shared" si="108"/>
        <v>193415</v>
      </c>
      <c r="O324" s="23">
        <f t="shared" si="108"/>
        <v>180444</v>
      </c>
      <c r="P324" s="23">
        <f t="shared" si="108"/>
        <v>174900</v>
      </c>
      <c r="Q324" s="23">
        <f t="shared" si="108"/>
        <v>185400</v>
      </c>
      <c r="R324" s="23">
        <f t="shared" si="108"/>
        <v>164600</v>
      </c>
      <c r="S324" s="23">
        <f t="shared" si="108"/>
        <v>174100</v>
      </c>
    </row>
    <row r="325" spans="1:19">
      <c r="A325" s="24" t="s">
        <v>503</v>
      </c>
      <c r="B325" s="24">
        <v>236296</v>
      </c>
      <c r="C325" s="24">
        <v>246296</v>
      </c>
      <c r="D325">
        <v>343199</v>
      </c>
      <c r="E325">
        <v>339931</v>
      </c>
      <c r="F325">
        <v>251812</v>
      </c>
      <c r="G325" s="29">
        <v>375473</v>
      </c>
      <c r="H325" s="29">
        <v>176540</v>
      </c>
      <c r="I325" s="29">
        <v>171246</v>
      </c>
      <c r="J325" s="24">
        <v>177598</v>
      </c>
      <c r="K325" s="24">
        <v>176398</v>
      </c>
      <c r="L325" s="24">
        <v>193360</v>
      </c>
      <c r="M325" s="24">
        <v>161672</v>
      </c>
      <c r="N325" s="24">
        <v>193415</v>
      </c>
      <c r="O325" s="24">
        <v>180444</v>
      </c>
      <c r="P325" s="24">
        <v>174900</v>
      </c>
      <c r="Q325" s="24">
        <v>185400</v>
      </c>
      <c r="R325" s="24">
        <v>164600</v>
      </c>
      <c r="S325" s="24">
        <v>174100</v>
      </c>
    </row>
    <row r="326" spans="1:19">
      <c r="A326" s="23"/>
      <c r="B326" s="23"/>
      <c r="C326" s="23"/>
      <c r="E326" s="29"/>
      <c r="F326" s="29"/>
      <c r="G326" s="29"/>
      <c r="H326" s="29"/>
      <c r="J326" s="23"/>
      <c r="K326" s="23"/>
      <c r="L326" s="23"/>
      <c r="M326" s="23"/>
      <c r="N326" s="23"/>
      <c r="O326" s="23"/>
      <c r="P326" s="23"/>
      <c r="Q326" s="23"/>
      <c r="R326" s="23"/>
      <c r="S326" s="23"/>
    </row>
    <row r="327" spans="1:19">
      <c r="A327" s="23" t="s">
        <v>504</v>
      </c>
      <c r="B327" s="53">
        <f t="shared" ref="B327:S327" si="109">SUBTOTAL(9,B328:B334)</f>
        <v>2697838</v>
      </c>
      <c r="C327" s="53">
        <f t="shared" si="109"/>
        <v>4096229</v>
      </c>
      <c r="D327" s="53">
        <f t="shared" si="109"/>
        <v>1513534</v>
      </c>
      <c r="E327" s="53">
        <f t="shared" si="109"/>
        <v>1443341</v>
      </c>
      <c r="F327" s="53">
        <f t="shared" si="109"/>
        <v>1707968</v>
      </c>
      <c r="G327" s="53">
        <f t="shared" si="109"/>
        <v>1851688</v>
      </c>
      <c r="H327" s="53">
        <f t="shared" si="109"/>
        <v>1493867</v>
      </c>
      <c r="I327" s="53">
        <f t="shared" si="109"/>
        <v>1277741</v>
      </c>
      <c r="J327" s="23">
        <f t="shared" si="109"/>
        <v>1283066</v>
      </c>
      <c r="K327" s="23">
        <f t="shared" si="109"/>
        <v>1305091</v>
      </c>
      <c r="L327" s="23">
        <f t="shared" si="109"/>
        <v>1279679</v>
      </c>
      <c r="M327" s="23">
        <f t="shared" si="109"/>
        <v>1298848</v>
      </c>
      <c r="N327" s="23">
        <f t="shared" si="109"/>
        <v>1229287</v>
      </c>
      <c r="O327" s="23">
        <f t="shared" si="109"/>
        <v>1060610</v>
      </c>
      <c r="P327" s="23">
        <f t="shared" si="109"/>
        <v>1311300</v>
      </c>
      <c r="Q327" s="23">
        <f t="shared" si="109"/>
        <v>1017300</v>
      </c>
      <c r="R327" s="23">
        <f t="shared" si="109"/>
        <v>969300</v>
      </c>
      <c r="S327" s="23">
        <f t="shared" si="109"/>
        <v>885300</v>
      </c>
    </row>
    <row r="328" spans="1:19">
      <c r="A328" t="s">
        <v>505</v>
      </c>
      <c r="B328">
        <v>341078</v>
      </c>
      <c r="C328">
        <v>341078</v>
      </c>
      <c r="D328">
        <v>362848</v>
      </c>
      <c r="E328">
        <v>293615</v>
      </c>
      <c r="F328">
        <v>241751</v>
      </c>
      <c r="G328" s="29">
        <v>300459</v>
      </c>
      <c r="H328" s="29">
        <v>267638</v>
      </c>
      <c r="I328" s="29">
        <v>245020</v>
      </c>
      <c r="J328" s="24">
        <v>217372</v>
      </c>
      <c r="K328" s="24">
        <v>206402</v>
      </c>
      <c r="L328" s="24">
        <v>212267</v>
      </c>
      <c r="M328" s="24">
        <v>183457</v>
      </c>
      <c r="N328" s="24">
        <v>203207</v>
      </c>
      <c r="O328" s="24">
        <v>162660</v>
      </c>
      <c r="P328" s="24">
        <v>174100</v>
      </c>
      <c r="Q328" s="24">
        <v>163300</v>
      </c>
      <c r="R328" s="24">
        <v>132200</v>
      </c>
      <c r="S328" s="24">
        <v>141700</v>
      </c>
    </row>
    <row r="329" spans="1:19">
      <c r="A329" t="s">
        <v>506</v>
      </c>
      <c r="B329">
        <v>228890</v>
      </c>
      <c r="C329" s="43">
        <v>1647741</v>
      </c>
      <c r="D329">
        <v>0</v>
      </c>
      <c r="E329">
        <v>0</v>
      </c>
      <c r="F329">
        <v>334988</v>
      </c>
      <c r="G329" s="29">
        <v>353683</v>
      </c>
      <c r="H329" s="29">
        <v>67250</v>
      </c>
      <c r="I329" s="29">
        <v>54232</v>
      </c>
      <c r="J329" s="24">
        <v>69788</v>
      </c>
      <c r="K329" s="24">
        <v>129520</v>
      </c>
      <c r="L329" s="24">
        <v>172422</v>
      </c>
      <c r="M329" s="24">
        <v>224801</v>
      </c>
      <c r="N329" s="24">
        <v>270036</v>
      </c>
      <c r="O329" s="24">
        <v>146322</v>
      </c>
      <c r="P329" s="24">
        <v>290400</v>
      </c>
      <c r="Q329" s="24">
        <v>122800</v>
      </c>
      <c r="R329" s="24">
        <v>127100</v>
      </c>
      <c r="S329" s="24">
        <v>141300</v>
      </c>
    </row>
    <row r="330" spans="1:19">
      <c r="A330" t="s">
        <v>507</v>
      </c>
      <c r="B330">
        <v>228250</v>
      </c>
      <c r="C330">
        <v>219250</v>
      </c>
      <c r="D330">
        <v>269969</v>
      </c>
      <c r="E330">
        <v>242620</v>
      </c>
      <c r="F330">
        <v>177198</v>
      </c>
      <c r="G330" s="29">
        <v>195839</v>
      </c>
      <c r="H330" s="29">
        <v>206455</v>
      </c>
      <c r="I330" s="29">
        <v>199313</v>
      </c>
      <c r="J330" s="24">
        <v>173910</v>
      </c>
      <c r="K330" s="24">
        <v>190814</v>
      </c>
      <c r="L330" s="24">
        <v>189205</v>
      </c>
      <c r="M330" s="24">
        <v>171816</v>
      </c>
      <c r="N330" s="24">
        <v>159105</v>
      </c>
      <c r="O330" s="24">
        <v>145725</v>
      </c>
      <c r="P330" s="24">
        <v>179200</v>
      </c>
      <c r="Q330" s="24">
        <v>177900</v>
      </c>
      <c r="R330" s="24">
        <v>188300</v>
      </c>
      <c r="S330" s="24">
        <v>149200</v>
      </c>
    </row>
    <row r="331" spans="1:19">
      <c r="G331" s="29"/>
      <c r="H331" s="29"/>
      <c r="I331" s="29"/>
      <c r="J331" s="24">
        <v>36372</v>
      </c>
      <c r="K331" s="24">
        <v>17157</v>
      </c>
      <c r="L331" s="24">
        <v>19934</v>
      </c>
      <c r="M331" s="24">
        <v>30790</v>
      </c>
      <c r="N331" s="24">
        <v>5250</v>
      </c>
      <c r="O331" s="24">
        <v>18781</v>
      </c>
      <c r="P331" s="24">
        <v>20500</v>
      </c>
      <c r="Q331" s="24">
        <v>18200</v>
      </c>
      <c r="R331" s="24">
        <v>20200</v>
      </c>
      <c r="S331" s="24">
        <v>14700</v>
      </c>
    </row>
    <row r="332" spans="1:19">
      <c r="A332" t="s">
        <v>508</v>
      </c>
      <c r="B332">
        <v>0</v>
      </c>
      <c r="C332">
        <v>0</v>
      </c>
      <c r="D332">
        <v>500</v>
      </c>
      <c r="E332">
        <v>0</v>
      </c>
      <c r="F332">
        <v>0</v>
      </c>
      <c r="G332" s="29">
        <v>0</v>
      </c>
      <c r="H332" s="29">
        <v>0</v>
      </c>
      <c r="I332" s="29">
        <v>0</v>
      </c>
      <c r="J332" s="24">
        <v>0</v>
      </c>
      <c r="K332" s="24">
        <v>0</v>
      </c>
      <c r="L332" s="24">
        <v>0</v>
      </c>
      <c r="M332" s="24">
        <v>0</v>
      </c>
      <c r="N332" s="24">
        <v>0</v>
      </c>
      <c r="O332" s="24">
        <v>0</v>
      </c>
      <c r="P332" s="24">
        <v>300</v>
      </c>
      <c r="Q332" s="24">
        <v>16000</v>
      </c>
      <c r="R332" s="24">
        <v>13400</v>
      </c>
      <c r="S332" s="24">
        <v>21100</v>
      </c>
    </row>
    <row r="333" spans="1:19">
      <c r="A333" t="s">
        <v>509</v>
      </c>
      <c r="B333">
        <v>899620</v>
      </c>
      <c r="C333">
        <v>888160</v>
      </c>
      <c r="D333">
        <v>880217</v>
      </c>
      <c r="E333">
        <v>907106</v>
      </c>
      <c r="F333">
        <v>895427</v>
      </c>
      <c r="G333" s="29">
        <v>859050</v>
      </c>
      <c r="H333" s="29">
        <v>859478</v>
      </c>
      <c r="I333" s="29">
        <v>779176</v>
      </c>
      <c r="J333" s="24">
        <v>785027</v>
      </c>
      <c r="K333" s="24">
        <v>761198</v>
      </c>
      <c r="L333" s="24">
        <v>685851</v>
      </c>
      <c r="M333" s="24">
        <v>687984</v>
      </c>
      <c r="N333" s="24">
        <v>591689</v>
      </c>
      <c r="O333" s="24">
        <v>587122</v>
      </c>
      <c r="P333" s="24">
        <v>555800</v>
      </c>
      <c r="Q333" s="24">
        <v>519100</v>
      </c>
      <c r="R333" s="24">
        <v>488100</v>
      </c>
      <c r="S333" s="24">
        <v>417300</v>
      </c>
    </row>
    <row r="334" spans="1:19">
      <c r="A334" t="s">
        <v>510</v>
      </c>
      <c r="B334">
        <v>1000000</v>
      </c>
      <c r="C334">
        <v>1000000</v>
      </c>
      <c r="D334">
        <v>0</v>
      </c>
      <c r="E334">
        <v>0</v>
      </c>
      <c r="F334">
        <v>58604</v>
      </c>
      <c r="G334" s="29">
        <v>142657</v>
      </c>
      <c r="H334" s="29">
        <v>93046</v>
      </c>
      <c r="I334" s="29">
        <v>0</v>
      </c>
      <c r="J334" s="24">
        <v>597</v>
      </c>
      <c r="K334" s="24" t="s">
        <v>4</v>
      </c>
      <c r="L334" s="24" t="s">
        <v>4</v>
      </c>
      <c r="M334" s="24">
        <v>0</v>
      </c>
      <c r="N334" s="24">
        <v>0</v>
      </c>
      <c r="O334" s="24">
        <v>0</v>
      </c>
      <c r="P334" s="24">
        <v>91000</v>
      </c>
      <c r="Q334" s="24">
        <v>0</v>
      </c>
      <c r="R334" s="24">
        <v>0</v>
      </c>
      <c r="S334" s="24">
        <v>0</v>
      </c>
    </row>
    <row r="335" spans="1:19">
      <c r="E335" s="29"/>
      <c r="F335" s="29"/>
      <c r="G335" s="29"/>
      <c r="H335" s="29"/>
      <c r="I335" s="29"/>
    </row>
    <row r="336" spans="1:19">
      <c r="A336" s="23" t="s">
        <v>511</v>
      </c>
      <c r="B336" s="53">
        <f t="shared" ref="B336:S336" si="110">SUBTOTAL(9,B337:B337)</f>
        <v>390020</v>
      </c>
      <c r="C336" s="53">
        <f t="shared" si="110"/>
        <v>390020</v>
      </c>
      <c r="D336" s="53">
        <f t="shared" si="110"/>
        <v>411958</v>
      </c>
      <c r="E336" s="53">
        <f t="shared" si="110"/>
        <v>483923</v>
      </c>
      <c r="F336" s="53">
        <f t="shared" si="110"/>
        <v>400778</v>
      </c>
      <c r="G336" s="53">
        <f t="shared" si="110"/>
        <v>393005</v>
      </c>
      <c r="H336" s="53">
        <f t="shared" si="110"/>
        <v>582510</v>
      </c>
      <c r="I336" s="53">
        <f t="shared" si="110"/>
        <v>971026</v>
      </c>
      <c r="J336" s="23">
        <f t="shared" si="110"/>
        <v>651653</v>
      </c>
      <c r="K336" s="23">
        <f t="shared" si="110"/>
        <v>251974</v>
      </c>
      <c r="L336" s="23">
        <f t="shared" si="110"/>
        <v>449827</v>
      </c>
      <c r="M336" s="23">
        <f t="shared" si="110"/>
        <v>451937</v>
      </c>
      <c r="N336" s="23">
        <f t="shared" si="110"/>
        <v>456351</v>
      </c>
      <c r="O336" s="23">
        <f t="shared" si="110"/>
        <v>452701</v>
      </c>
      <c r="P336" s="23">
        <f t="shared" si="110"/>
        <v>507500</v>
      </c>
      <c r="Q336" s="23">
        <f t="shared" si="110"/>
        <v>276600</v>
      </c>
      <c r="R336" s="23">
        <f t="shared" si="110"/>
        <v>288000</v>
      </c>
      <c r="S336" s="23">
        <f t="shared" si="110"/>
        <v>162800</v>
      </c>
    </row>
    <row r="337" spans="1:19">
      <c r="A337" t="s">
        <v>512</v>
      </c>
      <c r="B337">
        <v>390020</v>
      </c>
      <c r="C337">
        <v>390020</v>
      </c>
      <c r="D337">
        <v>411958</v>
      </c>
      <c r="E337">
        <v>483923</v>
      </c>
      <c r="F337">
        <v>400778</v>
      </c>
      <c r="G337" s="29">
        <v>393005</v>
      </c>
      <c r="H337" s="29">
        <v>582510</v>
      </c>
      <c r="I337" s="29">
        <v>971026</v>
      </c>
      <c r="J337" s="24">
        <v>651653</v>
      </c>
      <c r="K337" s="24">
        <v>251974</v>
      </c>
      <c r="L337" s="24">
        <v>449827</v>
      </c>
      <c r="M337" s="24">
        <v>451937</v>
      </c>
      <c r="N337" s="24">
        <v>456351</v>
      </c>
      <c r="O337" s="24">
        <v>452701</v>
      </c>
      <c r="P337" s="24">
        <v>507500</v>
      </c>
      <c r="Q337" s="24">
        <v>276600</v>
      </c>
      <c r="R337" s="24">
        <v>288000</v>
      </c>
      <c r="S337" s="24">
        <v>162800</v>
      </c>
    </row>
    <row r="338" spans="1:19">
      <c r="E338" s="29"/>
      <c r="F338" s="29"/>
      <c r="G338" s="29"/>
      <c r="H338" s="29"/>
    </row>
    <row r="339" spans="1:19">
      <c r="A339" s="23" t="s">
        <v>513</v>
      </c>
      <c r="B339" s="53">
        <f t="shared" ref="B339:S339" si="111">SUBTOTAL(9,B340:B349)</f>
        <v>1592155</v>
      </c>
      <c r="C339" s="53">
        <f t="shared" si="111"/>
        <v>1584589</v>
      </c>
      <c r="D339" s="53">
        <f t="shared" si="111"/>
        <v>1435076</v>
      </c>
      <c r="E339" s="53">
        <f t="shared" si="111"/>
        <v>1387906</v>
      </c>
      <c r="F339" s="53">
        <f t="shared" si="111"/>
        <v>1284322</v>
      </c>
      <c r="G339" s="53">
        <f t="shared" si="111"/>
        <v>1408657</v>
      </c>
      <c r="H339" s="53">
        <f t="shared" si="111"/>
        <v>1261814</v>
      </c>
      <c r="I339" s="53">
        <f t="shared" si="111"/>
        <v>1349642</v>
      </c>
      <c r="J339" s="23">
        <f t="shared" si="111"/>
        <v>1468367</v>
      </c>
      <c r="K339" s="23">
        <f t="shared" si="111"/>
        <v>1779418</v>
      </c>
      <c r="L339" s="23">
        <f t="shared" si="111"/>
        <v>1404174</v>
      </c>
      <c r="M339" s="23">
        <f t="shared" si="111"/>
        <v>1449841</v>
      </c>
      <c r="N339" s="23">
        <f t="shared" si="111"/>
        <v>1422343</v>
      </c>
      <c r="O339" s="23">
        <f t="shared" si="111"/>
        <v>1444943</v>
      </c>
      <c r="P339" s="23">
        <f t="shared" si="111"/>
        <v>1514100</v>
      </c>
      <c r="Q339" s="23">
        <f t="shared" si="111"/>
        <v>1305500</v>
      </c>
      <c r="R339" s="23">
        <f t="shared" si="111"/>
        <v>1461400</v>
      </c>
      <c r="S339" s="23">
        <f t="shared" si="111"/>
        <v>1227900</v>
      </c>
    </row>
    <row r="340" spans="1:19">
      <c r="A340" t="s">
        <v>514</v>
      </c>
      <c r="B340">
        <v>10821</v>
      </c>
      <c r="C340">
        <v>10700</v>
      </c>
      <c r="D340">
        <v>1070</v>
      </c>
      <c r="E340">
        <v>478</v>
      </c>
      <c r="F340">
        <v>330</v>
      </c>
      <c r="G340" s="29">
        <v>4961</v>
      </c>
      <c r="H340" s="29">
        <v>655</v>
      </c>
      <c r="I340" s="29">
        <v>1524</v>
      </c>
      <c r="J340" s="24">
        <v>1003</v>
      </c>
      <c r="K340" s="24">
        <v>5557</v>
      </c>
      <c r="L340" s="24">
        <v>9124</v>
      </c>
      <c r="M340" s="24">
        <v>9117</v>
      </c>
      <c r="N340" s="24">
        <v>8407</v>
      </c>
      <c r="O340" s="24">
        <v>100</v>
      </c>
      <c r="P340" s="24">
        <v>8200</v>
      </c>
      <c r="Q340" s="24">
        <v>200</v>
      </c>
      <c r="R340" s="24">
        <v>200</v>
      </c>
      <c r="S340" s="24">
        <v>400</v>
      </c>
    </row>
    <row r="341" spans="1:19">
      <c r="A341" t="s">
        <v>515</v>
      </c>
      <c r="B341">
        <v>212202</v>
      </c>
      <c r="C341">
        <v>212202</v>
      </c>
      <c r="D341">
        <v>185561</v>
      </c>
      <c r="E341">
        <v>141131</v>
      </c>
      <c r="F341">
        <v>194107</v>
      </c>
      <c r="G341" s="29">
        <v>217159</v>
      </c>
      <c r="H341" s="29">
        <v>250780</v>
      </c>
      <c r="I341" s="29">
        <v>137208</v>
      </c>
      <c r="J341" s="24">
        <v>151761</v>
      </c>
      <c r="K341" s="24">
        <v>319541</v>
      </c>
      <c r="L341" s="24">
        <v>307010</v>
      </c>
      <c r="M341" s="24">
        <v>314197</v>
      </c>
      <c r="N341" s="24">
        <v>256488</v>
      </c>
      <c r="O341" s="24">
        <v>250137</v>
      </c>
      <c r="P341" s="24">
        <v>253200</v>
      </c>
      <c r="Q341" s="24">
        <v>213200</v>
      </c>
      <c r="R341" s="24">
        <v>187600</v>
      </c>
      <c r="S341" s="24">
        <v>134300</v>
      </c>
    </row>
    <row r="342" spans="1:19">
      <c r="A342" t="s">
        <v>516</v>
      </c>
      <c r="B342">
        <v>141340</v>
      </c>
      <c r="C342">
        <v>136340</v>
      </c>
      <c r="D342">
        <v>144449</v>
      </c>
      <c r="E342">
        <v>182733</v>
      </c>
      <c r="F342">
        <v>174315</v>
      </c>
      <c r="G342" s="29">
        <v>185693</v>
      </c>
      <c r="H342" s="29">
        <v>168776</v>
      </c>
      <c r="I342" s="29">
        <v>144586</v>
      </c>
      <c r="J342" s="24">
        <v>161297</v>
      </c>
      <c r="K342" s="24">
        <v>171966</v>
      </c>
      <c r="L342" s="24">
        <v>150410</v>
      </c>
      <c r="M342" s="24">
        <v>143091</v>
      </c>
      <c r="N342" s="24">
        <v>180921</v>
      </c>
      <c r="O342" s="24">
        <v>165331</v>
      </c>
      <c r="P342" s="24">
        <v>153300</v>
      </c>
      <c r="Q342" s="24">
        <v>116700</v>
      </c>
      <c r="R342" s="24">
        <v>134000</v>
      </c>
      <c r="S342" s="24">
        <v>148300</v>
      </c>
    </row>
    <row r="343" spans="1:19">
      <c r="A343" t="s">
        <v>517</v>
      </c>
      <c r="B343">
        <v>290000</v>
      </c>
      <c r="C343">
        <v>290000</v>
      </c>
      <c r="D343">
        <v>184079</v>
      </c>
      <c r="E343">
        <v>212577</v>
      </c>
      <c r="F343">
        <v>189228</v>
      </c>
      <c r="G343" s="29">
        <v>223778</v>
      </c>
      <c r="H343" s="29">
        <v>188965</v>
      </c>
      <c r="I343" s="29">
        <v>169988</v>
      </c>
      <c r="J343" s="24">
        <v>306863</v>
      </c>
      <c r="K343" s="24">
        <v>195913</v>
      </c>
      <c r="L343" s="24">
        <v>253776</v>
      </c>
      <c r="M343" s="24">
        <v>196506</v>
      </c>
      <c r="N343" s="24">
        <v>180542</v>
      </c>
      <c r="O343" s="24">
        <v>191340</v>
      </c>
      <c r="P343" s="24">
        <v>209500</v>
      </c>
      <c r="Q343" s="24">
        <v>177700</v>
      </c>
      <c r="R343" s="24">
        <v>159000</v>
      </c>
      <c r="S343" s="24">
        <v>182800</v>
      </c>
    </row>
    <row r="344" spans="1:19">
      <c r="A344" t="s">
        <v>518</v>
      </c>
      <c r="B344">
        <v>293231</v>
      </c>
      <c r="C344">
        <v>290786</v>
      </c>
      <c r="D344">
        <v>280011</v>
      </c>
      <c r="E344">
        <v>259579</v>
      </c>
      <c r="F344">
        <v>237808</v>
      </c>
      <c r="G344" s="29">
        <v>226881</v>
      </c>
      <c r="H344" s="29">
        <v>215598</v>
      </c>
      <c r="I344" s="29">
        <v>213222</v>
      </c>
      <c r="J344" s="24">
        <v>189501</v>
      </c>
      <c r="K344" s="24">
        <v>178452</v>
      </c>
      <c r="L344" s="24">
        <v>147156</v>
      </c>
      <c r="M344" s="24">
        <v>129709</v>
      </c>
      <c r="N344" s="24">
        <v>108422</v>
      </c>
      <c r="O344" s="24">
        <v>99657</v>
      </c>
      <c r="P344" s="24">
        <v>123100</v>
      </c>
      <c r="Q344" s="24">
        <v>81600</v>
      </c>
      <c r="R344" s="24">
        <v>101600</v>
      </c>
      <c r="S344" s="24">
        <v>89600</v>
      </c>
    </row>
    <row r="345" spans="1:19">
      <c r="A345" t="s">
        <v>519</v>
      </c>
      <c r="B345">
        <v>219050</v>
      </c>
      <c r="C345">
        <v>219050</v>
      </c>
      <c r="D345">
        <v>155664</v>
      </c>
      <c r="E345">
        <v>299077</v>
      </c>
      <c r="F345">
        <v>237021</v>
      </c>
      <c r="G345" s="29">
        <v>295243</v>
      </c>
      <c r="H345" s="29">
        <v>129699</v>
      </c>
      <c r="I345" s="29">
        <v>191549</v>
      </c>
      <c r="J345" s="24">
        <v>212689</v>
      </c>
      <c r="K345" s="24">
        <v>288451</v>
      </c>
      <c r="L345" s="24">
        <v>203506</v>
      </c>
      <c r="M345" s="24">
        <v>194844</v>
      </c>
      <c r="N345" s="24">
        <v>186945</v>
      </c>
      <c r="O345" s="24">
        <v>167140</v>
      </c>
      <c r="P345" s="24">
        <v>276100</v>
      </c>
      <c r="Q345" s="24">
        <v>232500</v>
      </c>
      <c r="R345" s="24">
        <v>412700</v>
      </c>
      <c r="S345" s="24">
        <v>344300</v>
      </c>
    </row>
    <row r="346" spans="1:19">
      <c r="A346" t="s">
        <v>520</v>
      </c>
      <c r="B346">
        <v>249400</v>
      </c>
      <c r="C346">
        <v>249400</v>
      </c>
      <c r="D346">
        <v>229954</v>
      </c>
      <c r="E346">
        <v>217678</v>
      </c>
      <c r="F346">
        <v>101895</v>
      </c>
      <c r="G346" s="29">
        <v>117354</v>
      </c>
      <c r="H346" s="29">
        <v>138858</v>
      </c>
      <c r="I346" s="29">
        <v>160369</v>
      </c>
      <c r="J346" s="24">
        <v>193254</v>
      </c>
      <c r="K346" s="24">
        <v>216264</v>
      </c>
      <c r="L346" s="24">
        <v>181213</v>
      </c>
      <c r="M346" s="24">
        <v>230554</v>
      </c>
      <c r="N346" s="24">
        <v>241377</v>
      </c>
      <c r="O346" s="24">
        <v>205950</v>
      </c>
      <c r="P346" s="24">
        <v>213800</v>
      </c>
      <c r="Q346" s="24">
        <v>208900</v>
      </c>
      <c r="R346" s="24">
        <v>191500</v>
      </c>
      <c r="S346" s="24">
        <v>114900</v>
      </c>
    </row>
    <row r="347" spans="1:19">
      <c r="A347" t="s">
        <v>521</v>
      </c>
      <c r="B347">
        <v>60000</v>
      </c>
      <c r="C347">
        <v>60000</v>
      </c>
      <c r="D347">
        <v>25089</v>
      </c>
      <c r="E347">
        <v>31993</v>
      </c>
      <c r="F347">
        <v>13674</v>
      </c>
      <c r="G347" s="29">
        <v>51242</v>
      </c>
      <c r="H347" s="29">
        <v>61725</v>
      </c>
      <c r="I347" s="29">
        <v>109888</v>
      </c>
      <c r="J347" s="24">
        <v>42179</v>
      </c>
      <c r="K347" s="24">
        <v>80086</v>
      </c>
      <c r="L347" s="24">
        <v>18945</v>
      </c>
      <c r="M347" s="24">
        <v>56353</v>
      </c>
      <c r="N347" s="24">
        <v>162137</v>
      </c>
      <c r="O347" s="24">
        <v>97901</v>
      </c>
      <c r="P347" s="24">
        <v>175000</v>
      </c>
      <c r="Q347" s="24">
        <v>74500</v>
      </c>
      <c r="R347" s="24">
        <v>74700</v>
      </c>
      <c r="S347" s="24">
        <v>74400</v>
      </c>
    </row>
    <row r="348" spans="1:19">
      <c r="A348" t="s">
        <v>522</v>
      </c>
      <c r="B348">
        <v>116111</v>
      </c>
      <c r="C348">
        <v>116111</v>
      </c>
      <c r="D348">
        <v>229199</v>
      </c>
      <c r="E348">
        <v>42660</v>
      </c>
      <c r="F348">
        <v>135944</v>
      </c>
      <c r="G348" s="29">
        <v>86346</v>
      </c>
      <c r="H348" s="29">
        <v>106758</v>
      </c>
      <c r="I348" s="29">
        <v>216458</v>
      </c>
      <c r="J348" s="24">
        <v>209820</v>
      </c>
      <c r="K348" s="24">
        <v>323188</v>
      </c>
      <c r="L348" s="24">
        <v>133034</v>
      </c>
      <c r="M348" s="24">
        <v>175470</v>
      </c>
      <c r="N348" s="24">
        <v>97104</v>
      </c>
      <c r="O348" s="24">
        <v>267387</v>
      </c>
      <c r="P348" s="24">
        <v>101900</v>
      </c>
      <c r="Q348" s="24">
        <v>200200</v>
      </c>
      <c r="R348" s="24">
        <v>200100</v>
      </c>
      <c r="S348" s="24">
        <v>138900</v>
      </c>
    </row>
    <row r="349" spans="1:19">
      <c r="A349" t="s">
        <v>523</v>
      </c>
      <c r="D349" s="29">
        <v>0</v>
      </c>
      <c r="E349" s="29">
        <v>0</v>
      </c>
      <c r="F349" s="29">
        <v>0</v>
      </c>
      <c r="G349" s="29">
        <v>0</v>
      </c>
      <c r="H349" s="29">
        <v>0</v>
      </c>
      <c r="I349" s="29">
        <v>4850</v>
      </c>
      <c r="J349" s="24" t="s">
        <v>4</v>
      </c>
      <c r="K349" s="24" t="s">
        <v>4</v>
      </c>
      <c r="L349" s="24" t="s">
        <v>4</v>
      </c>
      <c r="M349" s="24">
        <v>0</v>
      </c>
      <c r="N349" s="24">
        <v>0</v>
      </c>
      <c r="O349" s="24">
        <v>0</v>
      </c>
      <c r="P349" s="24">
        <v>0</v>
      </c>
      <c r="Q349" s="24">
        <v>0</v>
      </c>
      <c r="R349" s="24">
        <v>0</v>
      </c>
      <c r="S349" s="24">
        <v>0</v>
      </c>
    </row>
    <row r="350" spans="1:19">
      <c r="E350" s="29"/>
      <c r="F350" s="29"/>
      <c r="G350" s="29"/>
      <c r="H350" s="29"/>
      <c r="I350" s="29"/>
    </row>
    <row r="351" spans="1:19">
      <c r="A351" s="23" t="s">
        <v>524</v>
      </c>
      <c r="B351" s="23">
        <f t="shared" ref="B351:S351" si="112">SUBTOTAL(9,B352:B356)</f>
        <v>2178210</v>
      </c>
      <c r="C351" s="23">
        <f t="shared" si="112"/>
        <v>2178210</v>
      </c>
      <c r="D351" s="23">
        <f t="shared" si="112"/>
        <v>0</v>
      </c>
      <c r="E351" s="23">
        <f t="shared" si="112"/>
        <v>0</v>
      </c>
      <c r="F351" s="23">
        <f t="shared" si="112"/>
        <v>0</v>
      </c>
      <c r="G351" s="23">
        <f t="shared" si="112"/>
        <v>0</v>
      </c>
      <c r="H351" s="23">
        <f t="shared" si="112"/>
        <v>0</v>
      </c>
      <c r="I351" s="23">
        <f t="shared" si="112"/>
        <v>0</v>
      </c>
      <c r="J351" s="23">
        <f t="shared" si="112"/>
        <v>0</v>
      </c>
      <c r="K351" s="23">
        <f t="shared" si="112"/>
        <v>55774</v>
      </c>
      <c r="L351" s="23">
        <f t="shared" si="112"/>
        <v>29287</v>
      </c>
      <c r="M351" s="23">
        <f t="shared" si="112"/>
        <v>1665437</v>
      </c>
      <c r="N351" s="23">
        <f t="shared" si="112"/>
        <v>1690086</v>
      </c>
      <c r="O351" s="23">
        <f t="shared" si="112"/>
        <v>1627724</v>
      </c>
      <c r="P351" s="23">
        <f t="shared" si="112"/>
        <v>11457600</v>
      </c>
      <c r="Q351" s="23">
        <f t="shared" si="112"/>
        <v>1670300</v>
      </c>
      <c r="R351" s="23">
        <f t="shared" si="112"/>
        <v>1623700</v>
      </c>
      <c r="S351" s="23">
        <f t="shared" si="112"/>
        <v>1665900</v>
      </c>
    </row>
    <row r="352" spans="1:19">
      <c r="A352" t="s">
        <v>525</v>
      </c>
      <c r="B352">
        <v>2178210</v>
      </c>
      <c r="C352">
        <v>2178210</v>
      </c>
      <c r="D352">
        <v>0</v>
      </c>
      <c r="E352">
        <v>0</v>
      </c>
      <c r="F352">
        <v>0</v>
      </c>
      <c r="G352" s="29">
        <v>0</v>
      </c>
      <c r="H352" s="29">
        <v>0</v>
      </c>
      <c r="I352" s="29">
        <v>0</v>
      </c>
      <c r="J352" s="24">
        <v>0</v>
      </c>
      <c r="K352" s="24">
        <v>55774</v>
      </c>
      <c r="L352" s="24">
        <v>29287</v>
      </c>
      <c r="M352" s="24">
        <v>44073</v>
      </c>
      <c r="N352" s="24">
        <v>68722</v>
      </c>
      <c r="O352" s="24">
        <v>3960</v>
      </c>
      <c r="P352" s="24">
        <v>1403900</v>
      </c>
      <c r="Q352" s="24">
        <v>25100</v>
      </c>
      <c r="R352" s="24">
        <v>2300</v>
      </c>
      <c r="S352" s="24">
        <v>44500</v>
      </c>
    </row>
    <row r="353" spans="1:19">
      <c r="A353" t="s">
        <v>526</v>
      </c>
      <c r="B353">
        <v>0</v>
      </c>
      <c r="C353">
        <v>0</v>
      </c>
      <c r="D353">
        <v>0</v>
      </c>
      <c r="E353">
        <v>0</v>
      </c>
      <c r="F353">
        <v>0</v>
      </c>
      <c r="G353" s="29">
        <v>0</v>
      </c>
      <c r="H353" s="29">
        <v>0</v>
      </c>
      <c r="I353" s="29">
        <v>0</v>
      </c>
      <c r="J353" s="24" t="s">
        <v>4</v>
      </c>
      <c r="K353" s="24" t="s">
        <v>4</v>
      </c>
      <c r="L353" s="24" t="s">
        <v>4</v>
      </c>
      <c r="M353" s="24">
        <v>0</v>
      </c>
      <c r="N353" s="24">
        <v>0</v>
      </c>
      <c r="O353" s="24">
        <v>2400</v>
      </c>
      <c r="P353" s="24">
        <v>2932300</v>
      </c>
      <c r="Q353" s="24">
        <v>23800</v>
      </c>
      <c r="R353" s="24">
        <v>0</v>
      </c>
      <c r="S353" s="24">
        <v>0</v>
      </c>
    </row>
    <row r="354" spans="1:19">
      <c r="A354" t="s">
        <v>527</v>
      </c>
      <c r="B354">
        <v>0</v>
      </c>
      <c r="C354">
        <v>0</v>
      </c>
      <c r="D354">
        <v>0</v>
      </c>
      <c r="E354">
        <v>0</v>
      </c>
      <c r="F354">
        <v>0</v>
      </c>
      <c r="G354" s="29">
        <v>0</v>
      </c>
      <c r="H354" s="29">
        <v>0</v>
      </c>
      <c r="I354" s="29">
        <v>0</v>
      </c>
      <c r="J354" s="24" t="s">
        <v>4</v>
      </c>
      <c r="K354" s="24" t="s">
        <v>4</v>
      </c>
      <c r="L354" s="24" t="s">
        <v>4</v>
      </c>
      <c r="M354" s="24">
        <v>0</v>
      </c>
      <c r="N354" s="24">
        <v>0</v>
      </c>
      <c r="O354" s="24">
        <v>0</v>
      </c>
      <c r="P354" s="24">
        <v>5500000</v>
      </c>
      <c r="Q354" s="24">
        <v>0</v>
      </c>
      <c r="R354" s="24">
        <v>0</v>
      </c>
      <c r="S354" s="24">
        <v>0</v>
      </c>
    </row>
    <row r="355" spans="1:19">
      <c r="A355" t="s">
        <v>528</v>
      </c>
      <c r="D355">
        <v>0</v>
      </c>
      <c r="E355">
        <v>0</v>
      </c>
      <c r="F355">
        <v>0</v>
      </c>
      <c r="G355" s="29">
        <v>0</v>
      </c>
      <c r="H355" s="29">
        <v>0</v>
      </c>
      <c r="I355" s="29">
        <v>0</v>
      </c>
      <c r="J355" s="24"/>
      <c r="K355" s="24"/>
      <c r="L355" s="24"/>
      <c r="M355" s="24"/>
      <c r="N355" s="24"/>
      <c r="O355" s="24"/>
      <c r="P355" s="24"/>
      <c r="Q355" s="24"/>
      <c r="R355" s="24"/>
      <c r="S355" s="24"/>
    </row>
    <row r="356" spans="1:19">
      <c r="J356" s="24">
        <v>0</v>
      </c>
      <c r="K356" s="24">
        <v>0</v>
      </c>
      <c r="L356" s="24">
        <v>0</v>
      </c>
      <c r="M356" s="24">
        <v>1621364</v>
      </c>
      <c r="N356" s="24">
        <v>1621364</v>
      </c>
      <c r="O356" s="24">
        <v>1621364</v>
      </c>
      <c r="P356" s="24">
        <v>1621400</v>
      </c>
      <c r="Q356" s="24">
        <v>1621400</v>
      </c>
      <c r="R356" s="24">
        <v>1621400</v>
      </c>
      <c r="S356" s="24">
        <v>1621400</v>
      </c>
    </row>
    <row r="357" spans="1:19">
      <c r="E357" s="29"/>
      <c r="F357" s="29"/>
      <c r="G357" s="29"/>
      <c r="H357" s="29"/>
    </row>
    <row r="358" spans="1:19">
      <c r="A358" s="23" t="s">
        <v>529</v>
      </c>
      <c r="B358" s="53">
        <f t="shared" ref="B358:S358" si="113">SUBTOTAL(9,B359:B360)</f>
        <v>-9595247</v>
      </c>
      <c r="C358" s="53">
        <f t="shared" si="113"/>
        <v>-11166932</v>
      </c>
      <c r="D358" s="53">
        <f t="shared" si="113"/>
        <v>-7800380</v>
      </c>
      <c r="E358" s="53">
        <f t="shared" si="113"/>
        <v>-3606250</v>
      </c>
      <c r="F358" s="53">
        <f t="shared" si="113"/>
        <v>-5800818</v>
      </c>
      <c r="G358" s="53">
        <f t="shared" si="113"/>
        <v>-5912268</v>
      </c>
      <c r="H358" s="53">
        <f t="shared" si="113"/>
        <v>-4818584</v>
      </c>
      <c r="I358" s="53">
        <f t="shared" si="113"/>
        <v>-4615501</v>
      </c>
      <c r="J358" s="23">
        <f t="shared" si="113"/>
        <v>-4503832</v>
      </c>
      <c r="K358" s="23">
        <f t="shared" si="113"/>
        <v>-4480420</v>
      </c>
      <c r="L358" s="23">
        <f t="shared" si="113"/>
        <v>-5045972</v>
      </c>
      <c r="M358" s="23">
        <f t="shared" si="113"/>
        <v>-4071429</v>
      </c>
      <c r="N358" s="23">
        <f t="shared" si="113"/>
        <v>-3085463</v>
      </c>
      <c r="O358" s="23">
        <f t="shared" si="113"/>
        <v>-3151267</v>
      </c>
      <c r="P358" s="23">
        <f t="shared" si="113"/>
        <v>-2970800</v>
      </c>
      <c r="Q358" s="23">
        <f t="shared" si="113"/>
        <v>-3438500</v>
      </c>
      <c r="R358" s="23">
        <f t="shared" si="113"/>
        <v>-3276300</v>
      </c>
      <c r="S358" s="23">
        <f t="shared" si="113"/>
        <v>-3834900</v>
      </c>
    </row>
    <row r="359" spans="1:19">
      <c r="A359" t="s">
        <v>991</v>
      </c>
      <c r="B359">
        <v>-7883228</v>
      </c>
      <c r="C359">
        <v>-8520669</v>
      </c>
      <c r="D359">
        <v>-6400303</v>
      </c>
      <c r="E359">
        <v>-2069525</v>
      </c>
      <c r="F359">
        <v>-3154555</v>
      </c>
      <c r="G359" s="29">
        <v>-3266005</v>
      </c>
      <c r="H359" s="29">
        <v>-2172321</v>
      </c>
      <c r="I359" s="29">
        <v>-1970064</v>
      </c>
      <c r="J359" s="24">
        <v>-2068903</v>
      </c>
      <c r="K359" s="24">
        <v>-2043820</v>
      </c>
      <c r="L359" s="24">
        <v>-2399709</v>
      </c>
      <c r="M359" s="24">
        <v>-1425166</v>
      </c>
      <c r="N359" s="24">
        <v>-931263</v>
      </c>
      <c r="O359" s="24">
        <v>-996532</v>
      </c>
      <c r="P359" s="24">
        <v>-814700</v>
      </c>
      <c r="Q359" s="24">
        <v>-1215500</v>
      </c>
      <c r="R359" s="24">
        <v>-1053300</v>
      </c>
      <c r="S359" s="24">
        <v>-1861900</v>
      </c>
    </row>
    <row r="360" spans="1:19">
      <c r="A360" t="s">
        <v>992</v>
      </c>
      <c r="B360">
        <v>-1712019</v>
      </c>
      <c r="C360">
        <v>-2646263</v>
      </c>
      <c r="D360">
        <v>-1400077</v>
      </c>
      <c r="E360">
        <v>-1536725</v>
      </c>
      <c r="F360">
        <v>-2646263</v>
      </c>
      <c r="G360" s="29">
        <v>-2646263</v>
      </c>
      <c r="H360" s="29">
        <v>-2646263</v>
      </c>
      <c r="I360" s="29">
        <v>-2645437</v>
      </c>
      <c r="J360" s="24">
        <v>-2434929</v>
      </c>
      <c r="K360" s="24">
        <v>-2436600</v>
      </c>
      <c r="L360" s="24">
        <v>-2646263</v>
      </c>
      <c r="M360" s="24">
        <v>-2646263</v>
      </c>
      <c r="N360" s="24">
        <v>-2154200</v>
      </c>
      <c r="O360" s="24">
        <v>-2154735</v>
      </c>
      <c r="P360" s="24">
        <v>-2156100</v>
      </c>
      <c r="Q360" s="24">
        <v>-2223000</v>
      </c>
      <c r="R360" s="24">
        <v>-2223000</v>
      </c>
      <c r="S360" s="24">
        <v>-1973000</v>
      </c>
    </row>
    <row r="361" spans="1:19">
      <c r="A361" s="33"/>
      <c r="B361" s="33"/>
      <c r="C361" s="33"/>
      <c r="D361" s="34"/>
      <c r="E361" s="34"/>
      <c r="F361" s="34"/>
      <c r="G361" s="34"/>
      <c r="H361" s="34"/>
      <c r="I361" s="34"/>
      <c r="J361" s="33"/>
      <c r="K361" s="33"/>
      <c r="L361" s="33"/>
      <c r="M361" s="33"/>
      <c r="N361" s="33"/>
      <c r="O361" s="33"/>
      <c r="P361" s="33"/>
      <c r="Q361" s="33"/>
      <c r="R361" s="33"/>
      <c r="S361" s="33"/>
    </row>
    <row r="362" spans="1:19">
      <c r="A362" s="23" t="s">
        <v>530</v>
      </c>
      <c r="B362" s="53">
        <f t="shared" ref="B362:S362" si="114">SUBTOTAL(9,B364:B401)</f>
        <v>63116975</v>
      </c>
      <c r="C362" s="53">
        <f t="shared" si="114"/>
        <v>60065317</v>
      </c>
      <c r="D362" s="53">
        <f t="shared" si="114"/>
        <v>60930940</v>
      </c>
      <c r="E362" s="53">
        <f t="shared" si="114"/>
        <v>63040574</v>
      </c>
      <c r="F362" s="53">
        <f t="shared" si="114"/>
        <v>60523635</v>
      </c>
      <c r="G362" s="53">
        <f t="shared" si="114"/>
        <v>53083656</v>
      </c>
      <c r="H362" s="53">
        <f t="shared" si="114"/>
        <v>59690519</v>
      </c>
      <c r="I362" s="53">
        <f t="shared" si="114"/>
        <v>46732372</v>
      </c>
      <c r="J362" s="23">
        <f t="shared" si="114"/>
        <v>45592653</v>
      </c>
      <c r="K362" s="23">
        <f t="shared" si="114"/>
        <v>48017618</v>
      </c>
      <c r="L362" s="23">
        <f t="shared" si="114"/>
        <v>43616292</v>
      </c>
      <c r="M362" s="23">
        <f t="shared" si="114"/>
        <v>43211811</v>
      </c>
      <c r="N362" s="23">
        <f t="shared" si="114"/>
        <v>31070610</v>
      </c>
      <c r="O362" s="23">
        <f t="shared" si="114"/>
        <v>26803710</v>
      </c>
      <c r="P362" s="23">
        <f t="shared" si="114"/>
        <v>33784000</v>
      </c>
      <c r="Q362" s="23">
        <f t="shared" si="114"/>
        <v>24929000</v>
      </c>
      <c r="R362" s="23">
        <f t="shared" si="114"/>
        <v>20819000</v>
      </c>
      <c r="S362" s="23">
        <f t="shared" si="114"/>
        <v>23245100</v>
      </c>
    </row>
    <row r="363" spans="1:19">
      <c r="A363" s="23"/>
      <c r="B363" s="23"/>
      <c r="C363" s="23"/>
      <c r="E363" s="29"/>
      <c r="F363" s="29"/>
      <c r="G363" s="29"/>
      <c r="H363" s="29"/>
      <c r="J363" s="23"/>
      <c r="K363" s="23"/>
      <c r="L363" s="23"/>
      <c r="M363" s="23"/>
      <c r="N363" s="23"/>
      <c r="O363" s="23"/>
      <c r="P363" s="23"/>
      <c r="Q363" s="23"/>
      <c r="R363" s="23"/>
      <c r="S363" s="23"/>
    </row>
    <row r="364" spans="1:19">
      <c r="A364" s="23" t="s">
        <v>531</v>
      </c>
      <c r="B364" s="53">
        <f t="shared" ref="B364:I364" si="115">SUBTOTAL(9,B365:B371)</f>
        <v>23389890</v>
      </c>
      <c r="C364" s="53">
        <f t="shared" si="115"/>
        <v>22330707</v>
      </c>
      <c r="D364" s="53">
        <f t="shared" si="115"/>
        <v>22213079</v>
      </c>
      <c r="E364" s="53">
        <f t="shared" si="115"/>
        <v>25087856</v>
      </c>
      <c r="F364" s="53">
        <f t="shared" si="115"/>
        <v>18332406</v>
      </c>
      <c r="G364" s="53">
        <f t="shared" si="115"/>
        <v>17579076</v>
      </c>
      <c r="H364" s="53">
        <f t="shared" si="115"/>
        <v>28512069</v>
      </c>
      <c r="I364" s="53">
        <f t="shared" si="115"/>
        <v>20511692</v>
      </c>
      <c r="J364" s="23">
        <f t="shared" ref="J364:S364" si="116">SUBTOTAL(9,J365:J374)</f>
        <v>17395086</v>
      </c>
      <c r="K364" s="23">
        <f t="shared" si="116"/>
        <v>17298942</v>
      </c>
      <c r="L364" s="23">
        <f t="shared" si="116"/>
        <v>16937184</v>
      </c>
      <c r="M364" s="23">
        <f t="shared" si="116"/>
        <v>18609319</v>
      </c>
      <c r="N364" s="23">
        <f t="shared" si="116"/>
        <v>14799902</v>
      </c>
      <c r="O364" s="23">
        <f t="shared" si="116"/>
        <v>12589676</v>
      </c>
      <c r="P364" s="23">
        <f t="shared" si="116"/>
        <v>13187600</v>
      </c>
      <c r="Q364" s="23">
        <f t="shared" si="116"/>
        <v>9464900</v>
      </c>
      <c r="R364" s="23">
        <f t="shared" si="116"/>
        <v>8405800</v>
      </c>
      <c r="S364" s="23">
        <f t="shared" si="116"/>
        <v>7532500</v>
      </c>
    </row>
    <row r="365" spans="1:19">
      <c r="A365" t="s">
        <v>532</v>
      </c>
      <c r="B365">
        <v>12998573</v>
      </c>
      <c r="C365">
        <v>12582609</v>
      </c>
      <c r="D365">
        <v>11009978</v>
      </c>
      <c r="E365">
        <v>9633247</v>
      </c>
      <c r="F365">
        <v>8144194</v>
      </c>
      <c r="G365" s="29">
        <v>8743418</v>
      </c>
      <c r="H365" s="29">
        <v>9245522</v>
      </c>
      <c r="I365" s="29">
        <v>7942949</v>
      </c>
      <c r="J365">
        <v>8601975</v>
      </c>
      <c r="K365">
        <v>8676195</v>
      </c>
      <c r="L365">
        <v>7960506</v>
      </c>
      <c r="M365">
        <v>8067275</v>
      </c>
      <c r="N365">
        <v>6546167</v>
      </c>
      <c r="O365">
        <v>5783429</v>
      </c>
      <c r="P365">
        <v>5657100</v>
      </c>
      <c r="Q365">
        <v>4676800</v>
      </c>
      <c r="R365">
        <v>3452900</v>
      </c>
      <c r="S365">
        <v>2923900</v>
      </c>
    </row>
    <row r="366" spans="1:19">
      <c r="A366" t="s">
        <v>533</v>
      </c>
      <c r="B366">
        <v>34145</v>
      </c>
      <c r="C366">
        <v>44145</v>
      </c>
      <c r="D366">
        <v>32527</v>
      </c>
      <c r="E366">
        <v>4395</v>
      </c>
      <c r="F366">
        <v>15338</v>
      </c>
      <c r="G366" s="29">
        <v>4836</v>
      </c>
      <c r="H366" s="29">
        <v>10912</v>
      </c>
      <c r="I366" s="29">
        <v>27708</v>
      </c>
      <c r="J366">
        <v>109665</v>
      </c>
      <c r="K366">
        <v>54177</v>
      </c>
      <c r="L366">
        <v>80192</v>
      </c>
      <c r="M366">
        <v>68087</v>
      </c>
      <c r="N366">
        <v>80396</v>
      </c>
      <c r="O366">
        <v>102278</v>
      </c>
      <c r="P366">
        <v>111400</v>
      </c>
      <c r="Q366">
        <v>75600</v>
      </c>
      <c r="R366">
        <v>72700</v>
      </c>
      <c r="S366">
        <v>68400</v>
      </c>
    </row>
    <row r="367" spans="1:19">
      <c r="A367" t="s">
        <v>534</v>
      </c>
      <c r="B367">
        <v>132183</v>
      </c>
      <c r="C367">
        <v>161183</v>
      </c>
      <c r="D367">
        <v>100747</v>
      </c>
      <c r="E367">
        <v>200184</v>
      </c>
      <c r="F367">
        <v>389547</v>
      </c>
      <c r="G367" s="29">
        <v>429506</v>
      </c>
      <c r="H367" s="29">
        <v>923993</v>
      </c>
      <c r="I367" s="29">
        <v>854075</v>
      </c>
      <c r="J367">
        <v>751105</v>
      </c>
      <c r="K367">
        <v>700011</v>
      </c>
      <c r="L367">
        <v>605911</v>
      </c>
      <c r="M367">
        <v>991794</v>
      </c>
      <c r="N367">
        <v>806417</v>
      </c>
      <c r="O367">
        <v>746380</v>
      </c>
      <c r="P367">
        <v>695300</v>
      </c>
      <c r="Q367">
        <v>1401200</v>
      </c>
      <c r="R367">
        <v>2024600</v>
      </c>
      <c r="S367">
        <v>2429700</v>
      </c>
    </row>
    <row r="368" spans="1:19">
      <c r="A368" t="s">
        <v>535</v>
      </c>
      <c r="B368">
        <v>430000</v>
      </c>
      <c r="C368">
        <v>430000</v>
      </c>
      <c r="D368">
        <v>394430</v>
      </c>
      <c r="E368">
        <v>403737</v>
      </c>
      <c r="F368">
        <v>423715</v>
      </c>
      <c r="G368" s="29">
        <v>400309</v>
      </c>
      <c r="H368" s="29">
        <v>387372</v>
      </c>
      <c r="I368" s="29">
        <v>352643</v>
      </c>
      <c r="J368">
        <v>349434</v>
      </c>
      <c r="K368">
        <v>376039</v>
      </c>
      <c r="L368">
        <v>251904</v>
      </c>
      <c r="M368">
        <v>327304</v>
      </c>
      <c r="N368">
        <v>304115</v>
      </c>
      <c r="O368">
        <v>301283</v>
      </c>
      <c r="P368">
        <v>370100</v>
      </c>
      <c r="Q368">
        <v>296300</v>
      </c>
      <c r="R368">
        <v>270700</v>
      </c>
      <c r="S368">
        <v>274900</v>
      </c>
    </row>
    <row r="369" spans="1:19">
      <c r="A369" s="24" t="s">
        <v>1001</v>
      </c>
      <c r="B369">
        <v>0</v>
      </c>
      <c r="C369" s="24">
        <v>0</v>
      </c>
      <c r="D369">
        <v>0</v>
      </c>
      <c r="E369">
        <v>0</v>
      </c>
      <c r="F369">
        <v>1020</v>
      </c>
      <c r="G369" s="29">
        <v>1020</v>
      </c>
      <c r="H369" s="29">
        <v>0</v>
      </c>
      <c r="I369" s="29">
        <v>0</v>
      </c>
      <c r="J369">
        <v>7582907</v>
      </c>
      <c r="K369">
        <v>7492520</v>
      </c>
      <c r="L369">
        <v>8038671</v>
      </c>
      <c r="M369">
        <v>9154859</v>
      </c>
      <c r="N369">
        <v>7062807</v>
      </c>
      <c r="O369">
        <v>5656306</v>
      </c>
      <c r="P369">
        <v>6353700</v>
      </c>
      <c r="Q369">
        <v>3015000</v>
      </c>
      <c r="R369">
        <v>2584900</v>
      </c>
      <c r="S369">
        <v>1835600</v>
      </c>
    </row>
    <row r="370" spans="1:19">
      <c r="A370" t="s">
        <v>536</v>
      </c>
      <c r="B370">
        <v>9288573</v>
      </c>
      <c r="C370">
        <v>8978210</v>
      </c>
      <c r="D370">
        <v>10513427</v>
      </c>
      <c r="E370">
        <v>14693533</v>
      </c>
      <c r="F370">
        <v>9098499</v>
      </c>
      <c r="G370" s="29">
        <v>7999888</v>
      </c>
      <c r="H370" s="29">
        <v>17944270</v>
      </c>
      <c r="I370" s="29">
        <v>11334317</v>
      </c>
    </row>
    <row r="371" spans="1:19">
      <c r="A371" t="s">
        <v>537</v>
      </c>
      <c r="B371">
        <v>506416</v>
      </c>
      <c r="C371">
        <v>134560</v>
      </c>
      <c r="D371">
        <v>161970</v>
      </c>
      <c r="E371">
        <v>152760</v>
      </c>
      <c r="F371">
        <v>260093</v>
      </c>
      <c r="G371" s="29">
        <v>99</v>
      </c>
      <c r="H371" s="29">
        <v>0</v>
      </c>
      <c r="I371" s="29">
        <v>0</v>
      </c>
    </row>
    <row r="372" spans="1:19">
      <c r="E372" s="29"/>
      <c r="F372" s="29"/>
      <c r="G372" s="29"/>
      <c r="H372" s="29"/>
      <c r="I372" s="29"/>
    </row>
    <row r="373" spans="1:19">
      <c r="E373" s="29"/>
      <c r="F373" s="29"/>
      <c r="G373" s="29"/>
      <c r="H373" s="29"/>
    </row>
    <row r="374" spans="1:19">
      <c r="A374" s="23" t="s">
        <v>538</v>
      </c>
      <c r="B374" s="53">
        <f>SUBTOTAL(9,B375:B393)</f>
        <v>27659918</v>
      </c>
      <c r="C374" s="53">
        <f>SUBTOTAL(9,C375:C393)</f>
        <v>25833986</v>
      </c>
      <c r="D374" s="53">
        <f>SUBTOTAL(9,D375:D393)</f>
        <v>25186014</v>
      </c>
      <c r="E374" s="53">
        <f t="shared" ref="E374:S374" si="117">SUBTOTAL(9,E375:E393)</f>
        <v>23570846</v>
      </c>
      <c r="F374" s="53">
        <f t="shared" si="117"/>
        <v>25105586</v>
      </c>
      <c r="G374" s="53">
        <f t="shared" si="117"/>
        <v>24236326</v>
      </c>
      <c r="H374" s="53">
        <f t="shared" si="117"/>
        <v>23439662</v>
      </c>
      <c r="I374" s="53">
        <f t="shared" si="117"/>
        <v>18736501</v>
      </c>
      <c r="J374" s="53">
        <f t="shared" si="117"/>
        <v>20442944</v>
      </c>
      <c r="K374" s="53">
        <f t="shared" si="117"/>
        <v>22818849</v>
      </c>
      <c r="L374" s="53">
        <f t="shared" si="117"/>
        <v>20393826</v>
      </c>
      <c r="M374" s="53">
        <f t="shared" si="117"/>
        <v>16961030</v>
      </c>
      <c r="N374" s="53">
        <f t="shared" si="117"/>
        <v>12828181</v>
      </c>
      <c r="O374" s="53">
        <f t="shared" si="117"/>
        <v>11718216</v>
      </c>
      <c r="P374" s="53">
        <f t="shared" si="117"/>
        <v>18087300</v>
      </c>
      <c r="Q374" s="53">
        <f t="shared" si="117"/>
        <v>12881900</v>
      </c>
      <c r="R374" s="53">
        <f t="shared" si="117"/>
        <v>11337800</v>
      </c>
      <c r="S374" s="53">
        <f t="shared" si="117"/>
        <v>14573200</v>
      </c>
    </row>
    <row r="375" spans="1:19">
      <c r="A375" t="s">
        <v>539</v>
      </c>
      <c r="B375">
        <v>2031551</v>
      </c>
      <c r="C375">
        <v>1431551</v>
      </c>
      <c r="D375">
        <v>2077880</v>
      </c>
      <c r="E375">
        <v>1065103</v>
      </c>
      <c r="F375">
        <v>1595078</v>
      </c>
      <c r="G375" s="29">
        <v>3185279</v>
      </c>
      <c r="H375" s="29">
        <v>1782508</v>
      </c>
      <c r="I375" s="29">
        <v>2571749</v>
      </c>
      <c r="J375" s="24">
        <v>2157236</v>
      </c>
      <c r="K375" s="24">
        <v>2023053</v>
      </c>
      <c r="L375" s="24">
        <v>1692435</v>
      </c>
      <c r="M375" s="24">
        <v>1685956</v>
      </c>
      <c r="N375" s="24">
        <v>1133915</v>
      </c>
      <c r="O375" s="24">
        <v>1214341</v>
      </c>
      <c r="P375" s="24">
        <v>1646700</v>
      </c>
      <c r="Q375" s="24">
        <v>1335400</v>
      </c>
      <c r="R375" s="24">
        <v>1930600</v>
      </c>
      <c r="S375" s="24">
        <v>1451200</v>
      </c>
    </row>
    <row r="376" spans="1:19">
      <c r="A376" t="s">
        <v>540</v>
      </c>
      <c r="D376">
        <v>0</v>
      </c>
      <c r="E376">
        <v>0</v>
      </c>
      <c r="F376">
        <v>0</v>
      </c>
      <c r="G376" s="29">
        <v>7940</v>
      </c>
      <c r="H376" s="29">
        <v>0</v>
      </c>
      <c r="I376" s="29">
        <v>0</v>
      </c>
    </row>
    <row r="377" spans="1:19">
      <c r="A377" t="s">
        <v>541</v>
      </c>
      <c r="B377">
        <v>55000</v>
      </c>
      <c r="C377">
        <v>50000</v>
      </c>
      <c r="D377">
        <v>51883</v>
      </c>
      <c r="E377">
        <v>5969</v>
      </c>
      <c r="F377">
        <v>24968</v>
      </c>
      <c r="G377" s="29">
        <v>25596</v>
      </c>
      <c r="H377" s="29">
        <v>0</v>
      </c>
      <c r="I377" s="29">
        <v>2000</v>
      </c>
      <c r="J377" s="24" t="s">
        <v>4</v>
      </c>
      <c r="K377" s="24">
        <v>4176</v>
      </c>
      <c r="L377" s="24">
        <v>43303</v>
      </c>
      <c r="M377" s="24">
        <v>41547</v>
      </c>
      <c r="N377" s="24">
        <v>-10028</v>
      </c>
      <c r="O377" s="24">
        <v>72729</v>
      </c>
      <c r="P377" s="24">
        <v>71600</v>
      </c>
      <c r="Q377" s="24">
        <v>30100</v>
      </c>
      <c r="R377" s="24">
        <v>63800</v>
      </c>
      <c r="S377" s="24">
        <v>76900</v>
      </c>
    </row>
    <row r="378" spans="1:19">
      <c r="A378" t="s">
        <v>542</v>
      </c>
      <c r="D378">
        <v>0</v>
      </c>
      <c r="E378">
        <v>0</v>
      </c>
      <c r="F378">
        <v>0</v>
      </c>
      <c r="G378" s="29">
        <v>0</v>
      </c>
      <c r="H378" s="29">
        <v>25</v>
      </c>
      <c r="I378" s="29">
        <v>0</v>
      </c>
    </row>
    <row r="379" spans="1:19">
      <c r="A379" t="s">
        <v>543</v>
      </c>
      <c r="B379">
        <v>19500</v>
      </c>
      <c r="C379">
        <v>28500</v>
      </c>
      <c r="D379">
        <v>21597</v>
      </c>
      <c r="E379">
        <v>27707</v>
      </c>
      <c r="F379">
        <v>31286</v>
      </c>
      <c r="G379" s="29">
        <v>1276</v>
      </c>
      <c r="H379" s="29">
        <v>1612</v>
      </c>
      <c r="I379" s="29">
        <v>350</v>
      </c>
      <c r="J379" s="24">
        <v>2821</v>
      </c>
      <c r="K379" s="24">
        <v>3053</v>
      </c>
      <c r="L379" s="24">
        <v>8073</v>
      </c>
      <c r="M379" s="24">
        <v>12082</v>
      </c>
      <c r="N379" s="24">
        <v>9424</v>
      </c>
      <c r="O379" s="24">
        <v>14089</v>
      </c>
      <c r="P379" s="24">
        <v>0</v>
      </c>
      <c r="Q379" s="24">
        <v>0</v>
      </c>
      <c r="R379" s="24">
        <v>0</v>
      </c>
      <c r="S379" s="24">
        <v>0</v>
      </c>
    </row>
    <row r="380" spans="1:19">
      <c r="A380" t="s">
        <v>993</v>
      </c>
      <c r="B380">
        <v>0</v>
      </c>
      <c r="C380">
        <v>0</v>
      </c>
      <c r="D380">
        <v>3360</v>
      </c>
      <c r="E380" s="29">
        <v>0</v>
      </c>
      <c r="F380" s="29">
        <v>0</v>
      </c>
      <c r="G380" s="29"/>
      <c r="H380" s="29"/>
      <c r="I380" s="29"/>
      <c r="J380" s="24">
        <v>0</v>
      </c>
      <c r="K380" s="24">
        <v>0</v>
      </c>
      <c r="L380" s="24">
        <v>0</v>
      </c>
      <c r="M380" s="24">
        <v>0</v>
      </c>
      <c r="N380" s="24">
        <v>0</v>
      </c>
      <c r="O380" s="24">
        <v>320</v>
      </c>
      <c r="P380" s="24">
        <v>0</v>
      </c>
      <c r="Q380" s="24">
        <v>0</v>
      </c>
      <c r="R380" s="24">
        <v>0</v>
      </c>
      <c r="S380" s="24">
        <v>0</v>
      </c>
    </row>
    <row r="381" spans="1:19">
      <c r="A381" t="s">
        <v>544</v>
      </c>
      <c r="B381">
        <v>799599</v>
      </c>
      <c r="C381">
        <v>701599</v>
      </c>
      <c r="D381">
        <v>512290</v>
      </c>
      <c r="E381">
        <v>340295</v>
      </c>
      <c r="F381">
        <v>418013</v>
      </c>
      <c r="G381" s="29">
        <v>345879</v>
      </c>
      <c r="H381" s="29">
        <v>343468</v>
      </c>
      <c r="I381" s="29">
        <v>326202</v>
      </c>
      <c r="J381" s="24">
        <v>441678</v>
      </c>
      <c r="K381" s="24">
        <v>467825</v>
      </c>
      <c r="L381" s="24">
        <v>319645</v>
      </c>
      <c r="M381" s="24">
        <v>429802</v>
      </c>
      <c r="N381" s="24">
        <v>327123</v>
      </c>
      <c r="O381" s="24">
        <v>392940</v>
      </c>
      <c r="P381" s="24">
        <v>535900</v>
      </c>
      <c r="Q381" s="24">
        <v>354300</v>
      </c>
      <c r="R381" s="24">
        <v>342400</v>
      </c>
      <c r="S381" s="24">
        <v>326300</v>
      </c>
    </row>
    <row r="382" spans="1:19">
      <c r="A382" t="s">
        <v>545</v>
      </c>
      <c r="B382">
        <v>2875385</v>
      </c>
      <c r="C382">
        <v>2743735</v>
      </c>
      <c r="D382">
        <v>2662074</v>
      </c>
      <c r="E382">
        <v>2658478</v>
      </c>
      <c r="F382">
        <v>2142953</v>
      </c>
      <c r="G382" s="29">
        <v>2123710</v>
      </c>
      <c r="H382" s="29">
        <v>2147959</v>
      </c>
      <c r="I382" s="29">
        <v>2067284</v>
      </c>
      <c r="J382" s="24">
        <v>3793669</v>
      </c>
      <c r="K382" s="24">
        <v>5046446</v>
      </c>
      <c r="L382" s="24">
        <v>4206478</v>
      </c>
      <c r="M382" s="24">
        <v>2818549</v>
      </c>
      <c r="N382" s="24">
        <v>2371976</v>
      </c>
      <c r="O382" s="24">
        <v>1956002</v>
      </c>
      <c r="P382" s="24">
        <v>2614200</v>
      </c>
      <c r="Q382" s="24">
        <v>298900</v>
      </c>
      <c r="R382" s="24">
        <v>330600</v>
      </c>
      <c r="S382" s="24">
        <v>295400</v>
      </c>
    </row>
    <row r="383" spans="1:19">
      <c r="A383" t="s">
        <v>546</v>
      </c>
      <c r="D383">
        <v>0</v>
      </c>
      <c r="E383">
        <v>0</v>
      </c>
      <c r="F383">
        <v>0</v>
      </c>
      <c r="G383" s="29">
        <v>0</v>
      </c>
      <c r="H383" s="29">
        <v>866</v>
      </c>
      <c r="I383" s="29">
        <v>2233</v>
      </c>
      <c r="J383" s="24" t="s">
        <v>4</v>
      </c>
      <c r="K383" s="24">
        <v>12159</v>
      </c>
      <c r="L383" s="24">
        <v>24895</v>
      </c>
      <c r="M383" s="24">
        <v>18787</v>
      </c>
      <c r="N383" s="24">
        <v>13918</v>
      </c>
      <c r="O383" s="24">
        <v>6058</v>
      </c>
      <c r="P383" s="24">
        <v>217400</v>
      </c>
      <c r="Q383" s="24">
        <v>3800</v>
      </c>
      <c r="R383" s="24">
        <v>44700</v>
      </c>
      <c r="S383" s="24">
        <v>11700</v>
      </c>
    </row>
    <row r="384" spans="1:19">
      <c r="A384" t="s">
        <v>547</v>
      </c>
      <c r="B384">
        <v>50000</v>
      </c>
      <c r="C384">
        <v>50000</v>
      </c>
      <c r="D384">
        <v>92477</v>
      </c>
      <c r="E384">
        <v>26146</v>
      </c>
      <c r="F384">
        <v>30148</v>
      </c>
      <c r="G384" s="29">
        <v>15388</v>
      </c>
      <c r="H384" s="29">
        <v>7903</v>
      </c>
      <c r="I384" s="29">
        <v>86948</v>
      </c>
      <c r="J384" s="24">
        <v>137063</v>
      </c>
      <c r="K384" s="24">
        <v>204882</v>
      </c>
      <c r="L384" s="24">
        <v>256808</v>
      </c>
      <c r="M384" s="24">
        <v>334710</v>
      </c>
      <c r="N384" s="24">
        <v>177099</v>
      </c>
      <c r="O384" s="24">
        <v>94846</v>
      </c>
      <c r="P384" s="24">
        <v>265600</v>
      </c>
      <c r="Q384" s="24">
        <v>137000</v>
      </c>
      <c r="R384" s="24">
        <v>327800</v>
      </c>
      <c r="S384" s="24">
        <v>273000</v>
      </c>
    </row>
    <row r="385" spans="1:19">
      <c r="A385" t="s">
        <v>548</v>
      </c>
      <c r="B385">
        <v>2250</v>
      </c>
      <c r="C385">
        <v>2250</v>
      </c>
      <c r="D385">
        <v>1609</v>
      </c>
      <c r="E385">
        <v>1701</v>
      </c>
      <c r="F385">
        <v>1255</v>
      </c>
      <c r="G385" s="29">
        <v>1267</v>
      </c>
      <c r="H385" s="29">
        <v>1233</v>
      </c>
      <c r="I385" s="29">
        <v>840</v>
      </c>
      <c r="J385" s="24">
        <v>854</v>
      </c>
      <c r="K385" s="24">
        <v>837</v>
      </c>
      <c r="L385" s="24">
        <v>603</v>
      </c>
      <c r="M385" s="24">
        <v>447</v>
      </c>
      <c r="N385" s="24">
        <v>442</v>
      </c>
      <c r="O385" s="24">
        <v>173</v>
      </c>
      <c r="P385" s="24">
        <v>400</v>
      </c>
      <c r="Q385" s="24">
        <v>400</v>
      </c>
      <c r="R385" s="24">
        <v>700</v>
      </c>
      <c r="S385" s="24">
        <v>1600</v>
      </c>
    </row>
    <row r="386" spans="1:19">
      <c r="A386" s="24" t="s">
        <v>961</v>
      </c>
      <c r="B386" s="24">
        <v>1000</v>
      </c>
      <c r="C386" s="24">
        <v>0</v>
      </c>
      <c r="D386">
        <v>1757</v>
      </c>
      <c r="E386">
        <v>2963</v>
      </c>
      <c r="F386">
        <v>5758</v>
      </c>
      <c r="G386" s="29"/>
      <c r="H386" s="29"/>
      <c r="I386" s="29"/>
      <c r="J386" s="24" t="s">
        <v>4</v>
      </c>
      <c r="K386" s="24">
        <v>1060</v>
      </c>
      <c r="L386" s="24" t="s">
        <v>4</v>
      </c>
      <c r="M386" s="24">
        <v>0</v>
      </c>
      <c r="N386" s="24">
        <v>2747</v>
      </c>
      <c r="O386" s="24">
        <v>0</v>
      </c>
      <c r="P386" s="24">
        <v>0</v>
      </c>
      <c r="Q386" s="24">
        <v>0</v>
      </c>
      <c r="R386" s="24">
        <v>0</v>
      </c>
      <c r="S386" s="24">
        <v>0</v>
      </c>
    </row>
    <row r="387" spans="1:19">
      <c r="A387" t="s">
        <v>549</v>
      </c>
      <c r="B387">
        <v>20350797</v>
      </c>
      <c r="C387">
        <v>19602516</v>
      </c>
      <c r="D387">
        <v>18512953</v>
      </c>
      <c r="E387">
        <v>18283929</v>
      </c>
      <c r="F387">
        <v>19696266</v>
      </c>
      <c r="G387" s="29">
        <v>17518200</v>
      </c>
      <c r="H387" s="29">
        <v>18234371</v>
      </c>
      <c r="I387" s="29">
        <v>12688033</v>
      </c>
      <c r="J387" s="24">
        <v>12930431</v>
      </c>
      <c r="K387" s="24">
        <v>14101295</v>
      </c>
      <c r="L387" s="24">
        <v>13102806</v>
      </c>
      <c r="M387" s="24">
        <v>10976780</v>
      </c>
      <c r="N387" s="24">
        <v>8177343</v>
      </c>
      <c r="O387" s="24">
        <v>7425653</v>
      </c>
      <c r="P387" s="24">
        <v>11939500</v>
      </c>
      <c r="Q387" s="24">
        <v>10080900</v>
      </c>
      <c r="R387" s="24">
        <v>7754400</v>
      </c>
      <c r="S387" s="24">
        <v>11484900</v>
      </c>
    </row>
    <row r="388" spans="1:19">
      <c r="A388" t="s">
        <v>550</v>
      </c>
      <c r="B388">
        <v>257458</v>
      </c>
      <c r="C388">
        <v>6457</v>
      </c>
      <c r="D388">
        <v>7728</v>
      </c>
      <c r="E388">
        <v>7080</v>
      </c>
      <c r="F388">
        <v>686</v>
      </c>
      <c r="G388" s="29">
        <v>92</v>
      </c>
      <c r="H388" s="29">
        <v>0</v>
      </c>
      <c r="I388" s="29">
        <v>0</v>
      </c>
    </row>
    <row r="389" spans="1:19">
      <c r="A389" t="s">
        <v>551</v>
      </c>
      <c r="B389">
        <v>925000</v>
      </c>
      <c r="C389">
        <v>925000</v>
      </c>
      <c r="D389">
        <v>892613</v>
      </c>
      <c r="E389">
        <v>843069</v>
      </c>
      <c r="F389">
        <v>805089</v>
      </c>
      <c r="G389" s="29">
        <v>731197</v>
      </c>
      <c r="H389" s="29">
        <v>676614</v>
      </c>
      <c r="I389" s="29">
        <v>757109</v>
      </c>
      <c r="J389" s="24">
        <v>776192</v>
      </c>
      <c r="K389" s="24">
        <v>753129</v>
      </c>
      <c r="L389" s="24">
        <v>738780</v>
      </c>
      <c r="M389" s="24">
        <v>642370</v>
      </c>
      <c r="N389" s="24">
        <v>624222</v>
      </c>
      <c r="O389" s="24">
        <v>541065</v>
      </c>
      <c r="P389" s="24">
        <v>796000</v>
      </c>
      <c r="Q389" s="24">
        <v>641100</v>
      </c>
      <c r="R389" s="24">
        <v>542800</v>
      </c>
      <c r="S389" s="24">
        <v>652200</v>
      </c>
    </row>
    <row r="390" spans="1:19">
      <c r="A390" t="s">
        <v>552</v>
      </c>
      <c r="B390">
        <v>0</v>
      </c>
      <c r="C390">
        <v>0</v>
      </c>
      <c r="D390">
        <v>146</v>
      </c>
      <c r="E390">
        <v>5330</v>
      </c>
      <c r="F390">
        <v>6736</v>
      </c>
      <c r="G390" s="29">
        <v>0</v>
      </c>
      <c r="H390" s="29">
        <v>0</v>
      </c>
      <c r="I390" s="29">
        <v>0</v>
      </c>
    </row>
    <row r="391" spans="1:19">
      <c r="A391" t="s">
        <v>553</v>
      </c>
      <c r="B391">
        <v>292378</v>
      </c>
      <c r="C391">
        <v>292378</v>
      </c>
      <c r="D391">
        <v>292446</v>
      </c>
      <c r="E391">
        <v>272894</v>
      </c>
      <c r="F391">
        <v>285677</v>
      </c>
      <c r="G391" s="29">
        <v>254000</v>
      </c>
      <c r="H391" s="29">
        <v>243103</v>
      </c>
      <c r="I391" s="29">
        <v>233753</v>
      </c>
      <c r="J391" s="24">
        <v>203000</v>
      </c>
      <c r="K391" s="24">
        <v>200934</v>
      </c>
      <c r="L391" s="24" t="s">
        <v>4</v>
      </c>
      <c r="M391" s="24">
        <v>0</v>
      </c>
      <c r="N391" s="24">
        <v>0</v>
      </c>
      <c r="O391" s="24">
        <v>0</v>
      </c>
      <c r="P391" s="24">
        <v>0</v>
      </c>
      <c r="Q391" s="24">
        <v>0</v>
      </c>
      <c r="R391" s="24">
        <v>0</v>
      </c>
      <c r="S391" s="24">
        <v>0</v>
      </c>
    </row>
    <row r="392" spans="1:19">
      <c r="A392" t="s">
        <v>554</v>
      </c>
      <c r="B392">
        <v>0</v>
      </c>
      <c r="C392">
        <v>0</v>
      </c>
      <c r="D392">
        <v>53801</v>
      </c>
      <c r="E392">
        <v>24841</v>
      </c>
      <c r="F392">
        <v>0</v>
      </c>
      <c r="G392" s="29">
        <v>26502</v>
      </c>
      <c r="H392" s="29">
        <v>0</v>
      </c>
      <c r="I392" s="29">
        <v>0</v>
      </c>
      <c r="J392" s="24"/>
      <c r="K392" s="24"/>
      <c r="L392" s="24"/>
      <c r="M392" s="24"/>
      <c r="N392" s="24"/>
      <c r="O392" s="24"/>
      <c r="P392" s="24"/>
      <c r="Q392" s="24"/>
      <c r="R392" s="24"/>
      <c r="S392" s="24"/>
    </row>
    <row r="393" spans="1:19">
      <c r="A393" s="24" t="s">
        <v>962</v>
      </c>
      <c r="B393" s="24">
        <v>0</v>
      </c>
      <c r="C393" s="24">
        <v>0</v>
      </c>
      <c r="D393">
        <v>1400</v>
      </c>
      <c r="E393">
        <v>5341</v>
      </c>
      <c r="F393">
        <v>61673</v>
      </c>
      <c r="G393" s="29"/>
      <c r="H393" s="29"/>
      <c r="I393" s="29"/>
      <c r="J393" s="24"/>
      <c r="K393" s="24"/>
      <c r="L393" s="24"/>
      <c r="M393" s="24"/>
      <c r="N393" s="24"/>
      <c r="O393" s="24"/>
      <c r="P393" s="24"/>
      <c r="Q393" s="24"/>
      <c r="R393" s="24"/>
      <c r="S393" s="24"/>
    </row>
    <row r="394" spans="1:19">
      <c r="E394" s="29"/>
      <c r="F394" s="29"/>
      <c r="G394" s="29"/>
      <c r="H394" s="29"/>
      <c r="J394" s="24"/>
      <c r="K394" s="24"/>
      <c r="L394" s="24"/>
      <c r="M394" s="24"/>
      <c r="N394" s="24"/>
      <c r="O394" s="24"/>
      <c r="P394" s="24"/>
      <c r="Q394" s="24"/>
      <c r="R394" s="24"/>
      <c r="S394" s="24"/>
    </row>
    <row r="395" spans="1:19">
      <c r="A395" s="23" t="s">
        <v>555</v>
      </c>
      <c r="B395" s="53">
        <f t="shared" ref="B395:S395" si="118">SUBTOTAL(9,B396:B401)</f>
        <v>12067167</v>
      </c>
      <c r="C395" s="53">
        <f t="shared" si="118"/>
        <v>11900624</v>
      </c>
      <c r="D395" s="53">
        <f t="shared" si="118"/>
        <v>13531847</v>
      </c>
      <c r="E395" s="53">
        <f t="shared" si="118"/>
        <v>14381872</v>
      </c>
      <c r="F395" s="53">
        <f t="shared" si="118"/>
        <v>17085643</v>
      </c>
      <c r="G395" s="53">
        <f t="shared" si="118"/>
        <v>11268254</v>
      </c>
      <c r="H395" s="53">
        <f t="shared" si="118"/>
        <v>7738788</v>
      </c>
      <c r="I395" s="53">
        <f t="shared" si="118"/>
        <v>7484179</v>
      </c>
      <c r="J395" s="23">
        <f t="shared" si="118"/>
        <v>7754623</v>
      </c>
      <c r="K395" s="23">
        <f t="shared" si="118"/>
        <v>7899827</v>
      </c>
      <c r="L395" s="23">
        <f t="shared" si="118"/>
        <v>6285282</v>
      </c>
      <c r="M395" s="23">
        <f t="shared" si="118"/>
        <v>7641462</v>
      </c>
      <c r="N395" s="23">
        <f t="shared" si="118"/>
        <v>3442527</v>
      </c>
      <c r="O395" s="23">
        <f t="shared" si="118"/>
        <v>2495818</v>
      </c>
      <c r="P395" s="23">
        <f t="shared" si="118"/>
        <v>2509100</v>
      </c>
      <c r="Q395" s="23">
        <f t="shared" si="118"/>
        <v>2582200</v>
      </c>
      <c r="R395" s="23">
        <f t="shared" si="118"/>
        <v>1075400</v>
      </c>
      <c r="S395" s="23">
        <f t="shared" si="118"/>
        <v>1139400</v>
      </c>
    </row>
    <row r="396" spans="1:19">
      <c r="A396" t="s">
        <v>556</v>
      </c>
      <c r="B396">
        <v>50646</v>
      </c>
      <c r="C396">
        <v>48846</v>
      </c>
      <c r="D396">
        <v>25441</v>
      </c>
      <c r="E396">
        <v>22376</v>
      </c>
      <c r="F396">
        <v>48321</v>
      </c>
      <c r="G396" s="29">
        <v>25414</v>
      </c>
      <c r="H396" s="29">
        <v>63388</v>
      </c>
      <c r="I396" s="29">
        <v>36792</v>
      </c>
      <c r="J396" s="24">
        <v>51998</v>
      </c>
      <c r="K396" s="24">
        <v>35250</v>
      </c>
      <c r="L396" s="24">
        <v>53783</v>
      </c>
      <c r="M396" s="24">
        <v>46586</v>
      </c>
      <c r="N396" s="24">
        <v>22671</v>
      </c>
      <c r="O396" s="24">
        <v>49440</v>
      </c>
      <c r="P396" s="24">
        <v>46100</v>
      </c>
      <c r="Q396" s="24">
        <v>56600</v>
      </c>
      <c r="R396" s="24">
        <v>88900</v>
      </c>
      <c r="S396" s="24">
        <v>40100</v>
      </c>
    </row>
    <row r="397" spans="1:19">
      <c r="A397" t="s">
        <v>557</v>
      </c>
      <c r="B397">
        <v>6582247</v>
      </c>
      <c r="C397">
        <v>6547747</v>
      </c>
      <c r="D397">
        <v>6291371</v>
      </c>
      <c r="E397">
        <v>6294504</v>
      </c>
      <c r="F397">
        <v>5848268</v>
      </c>
      <c r="G397" s="29">
        <v>5705974</v>
      </c>
      <c r="H397" s="29">
        <v>4830693</v>
      </c>
      <c r="I397" s="29">
        <v>4818286</v>
      </c>
      <c r="J397" s="24">
        <v>4927452</v>
      </c>
      <c r="K397" s="24">
        <v>5050659</v>
      </c>
      <c r="L397" s="24">
        <v>3542290</v>
      </c>
      <c r="M397" s="24">
        <v>4042123</v>
      </c>
      <c r="N397" s="24">
        <v>3045</v>
      </c>
      <c r="O397" s="24">
        <v>3185</v>
      </c>
      <c r="P397" s="24">
        <v>6800</v>
      </c>
      <c r="Q397" s="24">
        <v>5700</v>
      </c>
      <c r="R397" s="24">
        <v>8900</v>
      </c>
      <c r="S397" s="24">
        <v>9600</v>
      </c>
    </row>
    <row r="398" spans="1:19">
      <c r="A398" t="s">
        <v>558</v>
      </c>
      <c r="B398">
        <v>14500</v>
      </c>
      <c r="C398">
        <v>13000</v>
      </c>
      <c r="D398">
        <v>2233731</v>
      </c>
      <c r="E398">
        <v>3294179</v>
      </c>
      <c r="F398">
        <v>6772381</v>
      </c>
      <c r="G398" s="29">
        <v>1922958</v>
      </c>
      <c r="H398" s="29">
        <v>10338</v>
      </c>
      <c r="I398" s="29">
        <v>62221</v>
      </c>
      <c r="J398" s="24">
        <v>26857</v>
      </c>
      <c r="K398" s="24">
        <v>2185595</v>
      </c>
      <c r="L398" s="24">
        <v>2072359</v>
      </c>
      <c r="M398" s="24">
        <v>2951461</v>
      </c>
      <c r="N398" s="24">
        <v>2846090</v>
      </c>
      <c r="O398" s="24">
        <v>1921280</v>
      </c>
      <c r="P398" s="24">
        <v>1929200</v>
      </c>
      <c r="Q398" s="24">
        <v>2080500</v>
      </c>
      <c r="R398" s="24">
        <v>569700</v>
      </c>
      <c r="S398" s="24">
        <v>714300</v>
      </c>
    </row>
    <row r="399" spans="1:19">
      <c r="A399" t="s">
        <v>559</v>
      </c>
      <c r="B399">
        <v>785244</v>
      </c>
      <c r="C399">
        <v>785244</v>
      </c>
      <c r="D399">
        <v>710500</v>
      </c>
      <c r="E399">
        <v>695659</v>
      </c>
      <c r="F399">
        <v>644876</v>
      </c>
      <c r="G399" s="29">
        <v>626387</v>
      </c>
      <c r="H399" s="29">
        <v>565247</v>
      </c>
      <c r="I399" s="29">
        <v>533090</v>
      </c>
      <c r="J399" s="24">
        <v>534293</v>
      </c>
      <c r="K399" s="24">
        <v>452211</v>
      </c>
      <c r="L399" s="24">
        <v>440774</v>
      </c>
      <c r="M399" s="24">
        <v>436897</v>
      </c>
      <c r="N399" s="24">
        <v>421040</v>
      </c>
      <c r="O399" s="24">
        <v>382421</v>
      </c>
      <c r="P399" s="24">
        <v>386000</v>
      </c>
      <c r="Q399" s="24">
        <v>305000</v>
      </c>
      <c r="R399" s="24">
        <v>270400</v>
      </c>
      <c r="S399" s="24">
        <v>267700</v>
      </c>
    </row>
    <row r="400" spans="1:19">
      <c r="A400" t="s">
        <v>560</v>
      </c>
      <c r="B400">
        <v>245000</v>
      </c>
      <c r="C400">
        <v>235000</v>
      </c>
      <c r="D400">
        <v>242072</v>
      </c>
      <c r="E400">
        <v>226556</v>
      </c>
      <c r="F400">
        <v>226698</v>
      </c>
      <c r="G400" s="29">
        <v>207421</v>
      </c>
      <c r="H400" s="29">
        <v>174735</v>
      </c>
      <c r="I400" s="29">
        <v>195172</v>
      </c>
      <c r="J400" s="24">
        <v>195992</v>
      </c>
      <c r="K400" s="24">
        <v>176112</v>
      </c>
      <c r="L400" s="24">
        <v>176076</v>
      </c>
      <c r="M400" s="24">
        <v>164395</v>
      </c>
      <c r="N400" s="24">
        <v>149681</v>
      </c>
      <c r="O400" s="24">
        <v>139492</v>
      </c>
      <c r="P400" s="24">
        <v>141000</v>
      </c>
      <c r="Q400" s="24">
        <v>134400</v>
      </c>
      <c r="R400" s="24">
        <v>137500</v>
      </c>
      <c r="S400" s="24">
        <v>107700</v>
      </c>
    </row>
    <row r="401" spans="1:19">
      <c r="A401" t="s">
        <v>561</v>
      </c>
      <c r="B401">
        <v>4389530</v>
      </c>
      <c r="C401">
        <v>4270787</v>
      </c>
      <c r="D401">
        <v>4028732</v>
      </c>
      <c r="E401">
        <v>3848598</v>
      </c>
      <c r="F401">
        <v>3545099</v>
      </c>
      <c r="G401" s="29">
        <v>2780100</v>
      </c>
      <c r="H401" s="29">
        <v>2094387</v>
      </c>
      <c r="I401" s="29">
        <v>1838618</v>
      </c>
      <c r="J401" s="24">
        <v>2018031</v>
      </c>
      <c r="K401" s="24" t="s">
        <v>4</v>
      </c>
      <c r="L401" s="24" t="s">
        <v>4</v>
      </c>
      <c r="M401" s="24">
        <v>0</v>
      </c>
      <c r="N401" s="24">
        <v>0</v>
      </c>
      <c r="O401" s="24">
        <v>0</v>
      </c>
      <c r="P401" s="24">
        <v>0</v>
      </c>
      <c r="Q401" s="24">
        <v>0</v>
      </c>
      <c r="R401" s="24">
        <v>0</v>
      </c>
      <c r="S401" s="24">
        <v>0</v>
      </c>
    </row>
    <row r="402" spans="1:19">
      <c r="A402" s="33"/>
      <c r="B402" s="33"/>
      <c r="C402" s="33"/>
      <c r="D402" s="34"/>
      <c r="E402" s="34"/>
      <c r="F402" s="34"/>
      <c r="G402" s="34"/>
      <c r="H402" s="34"/>
      <c r="I402" s="34"/>
      <c r="J402" s="33"/>
      <c r="K402" s="33"/>
      <c r="L402" s="33"/>
      <c r="M402" s="33"/>
      <c r="N402" s="33"/>
      <c r="O402" s="33"/>
      <c r="P402" s="33"/>
      <c r="Q402" s="33"/>
      <c r="R402" s="33"/>
      <c r="S402" s="33"/>
    </row>
    <row r="403" spans="1:19">
      <c r="A403" s="23" t="s">
        <v>562</v>
      </c>
      <c r="B403" s="53">
        <f t="shared" ref="B403:S403" si="119">SUBTOTAL(9,B405:B423)</f>
        <v>33587965</v>
      </c>
      <c r="C403" s="53">
        <f t="shared" si="119"/>
        <v>32466822</v>
      </c>
      <c r="D403" s="53">
        <f t="shared" si="119"/>
        <v>30073425</v>
      </c>
      <c r="E403" s="53">
        <f t="shared" si="119"/>
        <v>30967782</v>
      </c>
      <c r="F403" s="53">
        <f t="shared" si="119"/>
        <v>29673321</v>
      </c>
      <c r="G403" s="53">
        <f t="shared" si="119"/>
        <v>30902421</v>
      </c>
      <c r="H403" s="53">
        <f t="shared" si="119"/>
        <v>31120749</v>
      </c>
      <c r="I403" s="53">
        <f t="shared" si="119"/>
        <v>26300429</v>
      </c>
      <c r="J403" s="23">
        <f t="shared" si="119"/>
        <v>27366813</v>
      </c>
      <c r="K403" s="23">
        <f t="shared" si="119"/>
        <v>30490091</v>
      </c>
      <c r="L403" s="23">
        <f t="shared" si="119"/>
        <v>25944375</v>
      </c>
      <c r="M403" s="23">
        <f t="shared" si="119"/>
        <v>24103379</v>
      </c>
      <c r="N403" s="23">
        <f t="shared" si="119"/>
        <v>20747028</v>
      </c>
      <c r="O403" s="23">
        <f t="shared" si="119"/>
        <v>19194454</v>
      </c>
      <c r="P403" s="23">
        <f t="shared" si="119"/>
        <v>19045100</v>
      </c>
      <c r="Q403" s="23">
        <f t="shared" si="119"/>
        <v>16069400</v>
      </c>
      <c r="R403" s="23">
        <f t="shared" si="119"/>
        <v>16800000</v>
      </c>
      <c r="S403" s="23">
        <f t="shared" si="119"/>
        <v>15380700</v>
      </c>
    </row>
    <row r="404" spans="1:19">
      <c r="A404" s="23"/>
      <c r="B404" s="23"/>
      <c r="C404" s="23"/>
      <c r="E404" s="29"/>
      <c r="F404" s="29"/>
      <c r="G404" s="29"/>
      <c r="H404" s="29"/>
      <c r="J404" s="23"/>
      <c r="K404" s="23"/>
      <c r="L404" s="23"/>
      <c r="M404" s="23"/>
      <c r="N404" s="23"/>
      <c r="O404" s="23"/>
      <c r="P404" s="23"/>
      <c r="Q404" s="23"/>
      <c r="R404" s="23"/>
      <c r="S404" s="23"/>
    </row>
    <row r="405" spans="1:19">
      <c r="A405" s="23" t="s">
        <v>563</v>
      </c>
      <c r="B405" s="53">
        <f t="shared" ref="B405:S405" si="120">SUBTOTAL(9,B406:B408)</f>
        <v>30998367</v>
      </c>
      <c r="C405" s="53">
        <f t="shared" si="120"/>
        <v>29848706</v>
      </c>
      <c r="D405" s="53">
        <f t="shared" si="120"/>
        <v>26993653</v>
      </c>
      <c r="E405" s="53">
        <f t="shared" si="120"/>
        <v>28152328</v>
      </c>
      <c r="F405" s="53">
        <f t="shared" si="120"/>
        <v>27107465</v>
      </c>
      <c r="G405" s="53">
        <f t="shared" si="120"/>
        <v>28352412</v>
      </c>
      <c r="H405" s="53">
        <f t="shared" si="120"/>
        <v>28525502</v>
      </c>
      <c r="I405" s="53">
        <f t="shared" si="120"/>
        <v>23635267</v>
      </c>
      <c r="J405" s="23">
        <f t="shared" si="120"/>
        <v>24629869</v>
      </c>
      <c r="K405" s="23">
        <f t="shared" si="120"/>
        <v>27242667</v>
      </c>
      <c r="L405" s="23">
        <f t="shared" si="120"/>
        <v>22982657</v>
      </c>
      <c r="M405" s="23">
        <f t="shared" si="120"/>
        <v>21094472</v>
      </c>
      <c r="N405" s="23">
        <f t="shared" si="120"/>
        <v>17985093</v>
      </c>
      <c r="O405" s="23">
        <f t="shared" si="120"/>
        <v>16145737</v>
      </c>
      <c r="P405" s="23">
        <f t="shared" si="120"/>
        <v>15966300</v>
      </c>
      <c r="Q405" s="23">
        <f t="shared" si="120"/>
        <v>13245000</v>
      </c>
      <c r="R405" s="23">
        <f t="shared" si="120"/>
        <v>14161300</v>
      </c>
      <c r="S405" s="23">
        <f t="shared" si="120"/>
        <v>13194000</v>
      </c>
    </row>
    <row r="406" spans="1:19">
      <c r="A406" t="s">
        <v>564</v>
      </c>
      <c r="B406">
        <v>8945463</v>
      </c>
      <c r="C406">
        <v>8945463</v>
      </c>
      <c r="D406">
        <v>6313882</v>
      </c>
      <c r="E406">
        <v>8983328</v>
      </c>
      <c r="F406">
        <v>8942506</v>
      </c>
      <c r="G406" s="29">
        <v>9708449</v>
      </c>
      <c r="H406" s="29">
        <v>8934931</v>
      </c>
      <c r="I406" s="29">
        <v>5930291</v>
      </c>
      <c r="J406" s="24">
        <v>6283406</v>
      </c>
      <c r="K406" s="24">
        <v>9042026</v>
      </c>
      <c r="L406" s="24">
        <v>6294688</v>
      </c>
      <c r="M406" s="24">
        <v>6385636</v>
      </c>
      <c r="N406" s="24">
        <v>4281307</v>
      </c>
      <c r="O406" s="24">
        <v>2754586</v>
      </c>
      <c r="P406" s="24">
        <v>3056300</v>
      </c>
      <c r="Q406" s="24">
        <v>2124500</v>
      </c>
      <c r="R406" s="24">
        <v>2762100</v>
      </c>
      <c r="S406" s="24">
        <v>2121300</v>
      </c>
    </row>
    <row r="407" spans="1:19">
      <c r="A407" t="s">
        <v>565</v>
      </c>
      <c r="B407">
        <v>13770360</v>
      </c>
      <c r="C407">
        <v>13270360</v>
      </c>
      <c r="D407">
        <v>12674162</v>
      </c>
      <c r="E407">
        <v>11954337</v>
      </c>
      <c r="F407">
        <v>11110847</v>
      </c>
      <c r="G407" s="29">
        <v>11984489</v>
      </c>
      <c r="H407" s="29">
        <v>12711741</v>
      </c>
      <c r="I407" s="29">
        <v>11844459</v>
      </c>
      <c r="J407" s="24">
        <v>12550863</v>
      </c>
      <c r="K407" s="24">
        <v>12112894</v>
      </c>
      <c r="L407" s="24">
        <v>10899678</v>
      </c>
      <c r="M407" s="24">
        <v>9661694</v>
      </c>
      <c r="N407" s="24">
        <v>9305492</v>
      </c>
      <c r="O407" s="24">
        <v>8705284</v>
      </c>
      <c r="P407" s="24">
        <v>7229200</v>
      </c>
      <c r="Q407" s="24">
        <v>6736200</v>
      </c>
      <c r="R407" s="24">
        <v>6926700</v>
      </c>
      <c r="S407" s="24">
        <v>7081700</v>
      </c>
    </row>
    <row r="408" spans="1:19">
      <c r="A408" t="s">
        <v>566</v>
      </c>
      <c r="B408">
        <v>8282544</v>
      </c>
      <c r="C408">
        <v>7632883</v>
      </c>
      <c r="D408">
        <v>8005609</v>
      </c>
      <c r="E408">
        <v>7214663</v>
      </c>
      <c r="F408">
        <v>7054112</v>
      </c>
      <c r="G408" s="29">
        <v>6659474</v>
      </c>
      <c r="H408" s="29">
        <v>6878830</v>
      </c>
      <c r="I408" s="29">
        <v>5860517</v>
      </c>
      <c r="J408" s="24">
        <v>5795600</v>
      </c>
      <c r="K408" s="24">
        <v>6087747</v>
      </c>
      <c r="L408" s="24">
        <v>5788291</v>
      </c>
      <c r="M408" s="24">
        <v>5047142</v>
      </c>
      <c r="N408" s="24">
        <v>4398294</v>
      </c>
      <c r="O408" s="24">
        <v>4685867</v>
      </c>
      <c r="P408" s="24">
        <v>5680800</v>
      </c>
      <c r="Q408" s="24">
        <v>4384300</v>
      </c>
      <c r="R408" s="24">
        <v>4472500</v>
      </c>
      <c r="S408" s="24">
        <v>3991000</v>
      </c>
    </row>
    <row r="409" spans="1:19">
      <c r="E409" s="29"/>
      <c r="F409" s="29"/>
      <c r="G409" s="29"/>
      <c r="H409" s="29"/>
      <c r="I409" s="29"/>
    </row>
    <row r="410" spans="1:19">
      <c r="A410" s="23" t="s">
        <v>567</v>
      </c>
      <c r="B410" s="53">
        <f t="shared" ref="B410:S410" si="121">SUBTOTAL(9,B411:B411)</f>
        <v>1785800</v>
      </c>
      <c r="C410" s="53">
        <f t="shared" si="121"/>
        <v>1785800</v>
      </c>
      <c r="D410" s="53">
        <f t="shared" si="121"/>
        <v>1857747</v>
      </c>
      <c r="E410" s="53">
        <f>SUBTOTAL(9,E411:E411)</f>
        <v>1786295</v>
      </c>
      <c r="F410" s="53">
        <f t="shared" si="121"/>
        <v>1717591</v>
      </c>
      <c r="G410" s="53">
        <f t="shared" si="121"/>
        <v>1651530</v>
      </c>
      <c r="H410" s="53">
        <f t="shared" si="121"/>
        <v>1619871</v>
      </c>
      <c r="I410" s="53">
        <f t="shared" si="121"/>
        <v>1581552</v>
      </c>
      <c r="J410" s="23">
        <f t="shared" si="121"/>
        <v>1461685</v>
      </c>
      <c r="K410" s="23">
        <f t="shared" si="121"/>
        <v>1518310</v>
      </c>
      <c r="L410" s="23">
        <f t="shared" si="121"/>
        <v>1361088</v>
      </c>
      <c r="M410" s="23">
        <f t="shared" si="121"/>
        <v>1439832</v>
      </c>
      <c r="N410" s="23">
        <f t="shared" si="121"/>
        <v>1375028</v>
      </c>
      <c r="O410" s="23">
        <f t="shared" si="121"/>
        <v>1206758</v>
      </c>
      <c r="P410" s="23">
        <f t="shared" si="121"/>
        <v>1152900</v>
      </c>
      <c r="Q410" s="23">
        <f t="shared" si="121"/>
        <v>1144100</v>
      </c>
      <c r="R410" s="23">
        <f t="shared" si="121"/>
        <v>1026200</v>
      </c>
      <c r="S410" s="23">
        <f t="shared" si="121"/>
        <v>770100</v>
      </c>
    </row>
    <row r="411" spans="1:19">
      <c r="A411" t="s">
        <v>568</v>
      </c>
      <c r="B411">
        <v>1785800</v>
      </c>
      <c r="C411">
        <v>1785800</v>
      </c>
      <c r="D411">
        <v>1857747</v>
      </c>
      <c r="E411">
        <v>1786295</v>
      </c>
      <c r="F411">
        <v>1717591</v>
      </c>
      <c r="G411" s="29">
        <v>1651530</v>
      </c>
      <c r="H411" s="29">
        <v>1619871</v>
      </c>
      <c r="I411" s="29">
        <v>1581552</v>
      </c>
      <c r="J411" s="52">
        <v>1461685</v>
      </c>
      <c r="K411" s="52">
        <v>1518310</v>
      </c>
      <c r="L411" s="52">
        <v>1361088</v>
      </c>
      <c r="M411" s="52">
        <v>1439832</v>
      </c>
      <c r="N411" s="52">
        <v>1375028</v>
      </c>
      <c r="O411" s="52">
        <v>1206758</v>
      </c>
      <c r="P411" s="52">
        <v>1152900</v>
      </c>
      <c r="Q411" s="52">
        <v>1144100</v>
      </c>
      <c r="R411" s="52">
        <v>1026200</v>
      </c>
      <c r="S411" s="52">
        <v>770100</v>
      </c>
    </row>
    <row r="412" spans="1:19">
      <c r="E412" s="29"/>
      <c r="F412" s="29"/>
      <c r="G412" s="29"/>
      <c r="H412" s="29"/>
      <c r="I412" s="29"/>
    </row>
    <row r="413" spans="1:19">
      <c r="A413" s="23" t="s">
        <v>569</v>
      </c>
      <c r="B413" s="53">
        <f t="shared" ref="B413:S413" si="122">SUBTOTAL(9,B414:B414)</f>
        <v>50712</v>
      </c>
      <c r="C413" s="53">
        <f t="shared" si="122"/>
        <v>50712</v>
      </c>
      <c r="D413" s="53">
        <f t="shared" si="122"/>
        <v>52240</v>
      </c>
      <c r="E413" s="53">
        <f>SUBTOTAL(9,E414:E414)</f>
        <v>58018</v>
      </c>
      <c r="F413" s="53">
        <f t="shared" si="122"/>
        <v>49855</v>
      </c>
      <c r="G413" s="53">
        <f t="shared" si="122"/>
        <v>53179</v>
      </c>
      <c r="H413" s="53">
        <f t="shared" si="122"/>
        <v>81367</v>
      </c>
      <c r="I413" s="53">
        <f t="shared" si="122"/>
        <v>128865</v>
      </c>
      <c r="J413" s="23">
        <f t="shared" si="122"/>
        <v>65738</v>
      </c>
      <c r="K413" s="23">
        <f t="shared" si="122"/>
        <v>134710</v>
      </c>
      <c r="L413" s="23">
        <f t="shared" si="122"/>
        <v>108087</v>
      </c>
      <c r="M413" s="23">
        <f t="shared" si="122"/>
        <v>69786</v>
      </c>
      <c r="N413" s="23">
        <f t="shared" si="122"/>
        <v>65703</v>
      </c>
      <c r="O413" s="23">
        <f t="shared" si="122"/>
        <v>70828</v>
      </c>
      <c r="P413" s="23">
        <f t="shared" si="122"/>
        <v>121900</v>
      </c>
      <c r="Q413" s="23">
        <f t="shared" si="122"/>
        <v>82700</v>
      </c>
      <c r="R413" s="23">
        <f t="shared" si="122"/>
        <v>65600</v>
      </c>
      <c r="S413" s="23">
        <f t="shared" si="122"/>
        <v>0</v>
      </c>
    </row>
    <row r="414" spans="1:19">
      <c r="A414" t="s">
        <v>570</v>
      </c>
      <c r="B414">
        <v>50712</v>
      </c>
      <c r="C414">
        <v>50712</v>
      </c>
      <c r="D414">
        <v>52240</v>
      </c>
      <c r="E414">
        <v>58018</v>
      </c>
      <c r="F414">
        <v>49855</v>
      </c>
      <c r="G414" s="29">
        <v>53179</v>
      </c>
      <c r="H414" s="29">
        <v>81367</v>
      </c>
      <c r="I414" s="29">
        <v>128865</v>
      </c>
      <c r="J414" s="52">
        <v>65738</v>
      </c>
      <c r="K414" s="52">
        <v>134710</v>
      </c>
      <c r="L414" s="52">
        <v>108087</v>
      </c>
      <c r="M414" s="52">
        <v>69786</v>
      </c>
      <c r="N414" s="52">
        <v>65703</v>
      </c>
      <c r="O414" s="52">
        <v>70828</v>
      </c>
      <c r="P414" s="52">
        <v>121900</v>
      </c>
      <c r="Q414" s="52">
        <v>82700</v>
      </c>
      <c r="R414" s="52">
        <v>65600</v>
      </c>
      <c r="S414" s="52">
        <v>0</v>
      </c>
    </row>
    <row r="415" spans="1:19">
      <c r="E415" s="29"/>
      <c r="F415" s="29"/>
      <c r="G415" s="29"/>
      <c r="H415" s="29"/>
      <c r="I415" s="29"/>
    </row>
    <row r="416" spans="1:19">
      <c r="A416" s="23" t="s">
        <v>571</v>
      </c>
      <c r="B416" s="53">
        <f t="shared" ref="B416:S416" si="123">SUBTOTAL(9,B417:B420)</f>
        <v>337475</v>
      </c>
      <c r="C416" s="53">
        <f t="shared" si="123"/>
        <v>337475</v>
      </c>
      <c r="D416" s="53">
        <f t="shared" si="123"/>
        <v>501048</v>
      </c>
      <c r="E416" s="53">
        <f>SUBTOTAL(9,E417:E420)</f>
        <v>451439</v>
      </c>
      <c r="F416" s="53">
        <f t="shared" si="123"/>
        <v>472033</v>
      </c>
      <c r="G416" s="53">
        <f t="shared" si="123"/>
        <v>465722</v>
      </c>
      <c r="H416" s="53">
        <f t="shared" si="123"/>
        <v>439533</v>
      </c>
      <c r="I416" s="53">
        <f t="shared" si="123"/>
        <v>549706</v>
      </c>
      <c r="J416" s="23">
        <f t="shared" si="123"/>
        <v>627905</v>
      </c>
      <c r="K416" s="23">
        <f t="shared" si="123"/>
        <v>625893</v>
      </c>
      <c r="L416" s="23">
        <f t="shared" si="123"/>
        <v>536044</v>
      </c>
      <c r="M416" s="23">
        <f t="shared" si="123"/>
        <v>513388</v>
      </c>
      <c r="N416" s="23">
        <f t="shared" si="123"/>
        <v>452009</v>
      </c>
      <c r="O416" s="23">
        <f t="shared" si="123"/>
        <v>425729</v>
      </c>
      <c r="P416" s="23">
        <f t="shared" si="123"/>
        <v>331500</v>
      </c>
      <c r="Q416" s="23">
        <f t="shared" si="123"/>
        <v>310300</v>
      </c>
      <c r="R416" s="23">
        <f t="shared" si="123"/>
        <v>232000</v>
      </c>
      <c r="S416" s="23">
        <f t="shared" si="123"/>
        <v>157300</v>
      </c>
    </row>
    <row r="417" spans="1:19">
      <c r="A417" t="s">
        <v>572</v>
      </c>
      <c r="B417">
        <v>336875</v>
      </c>
      <c r="C417">
        <v>336875</v>
      </c>
      <c r="D417">
        <v>391090</v>
      </c>
      <c r="E417">
        <v>342101</v>
      </c>
      <c r="F417">
        <v>360075</v>
      </c>
      <c r="G417" s="29">
        <v>353183</v>
      </c>
      <c r="H417" s="29">
        <v>326605</v>
      </c>
      <c r="I417" s="29">
        <v>429740</v>
      </c>
      <c r="J417" s="52">
        <v>528189</v>
      </c>
      <c r="K417" s="52">
        <v>625893</v>
      </c>
      <c r="L417" s="52">
        <v>536044</v>
      </c>
      <c r="M417" s="52">
        <v>513388</v>
      </c>
      <c r="N417" s="52">
        <v>452009</v>
      </c>
      <c r="O417" s="52">
        <v>425729</v>
      </c>
      <c r="P417" s="52">
        <v>331500</v>
      </c>
      <c r="Q417" s="52">
        <v>310300</v>
      </c>
      <c r="R417" s="52">
        <v>232000</v>
      </c>
      <c r="S417" s="52">
        <v>157300</v>
      </c>
    </row>
    <row r="418" spans="1:19">
      <c r="A418" t="s">
        <v>573</v>
      </c>
      <c r="B418">
        <v>600</v>
      </c>
      <c r="C418">
        <v>600</v>
      </c>
      <c r="D418">
        <v>72345</v>
      </c>
      <c r="E418">
        <v>66950</v>
      </c>
      <c r="F418">
        <v>71785</v>
      </c>
      <c r="G418" s="29">
        <v>58044</v>
      </c>
      <c r="H418" s="29">
        <v>65380</v>
      </c>
      <c r="I418" s="29">
        <v>74445</v>
      </c>
      <c r="J418" s="52">
        <v>64190</v>
      </c>
      <c r="K418" s="52" t="s">
        <v>4</v>
      </c>
      <c r="L418" s="52" t="s">
        <v>4</v>
      </c>
      <c r="M418" s="52">
        <v>0</v>
      </c>
      <c r="N418" s="52">
        <v>0</v>
      </c>
      <c r="O418" s="52">
        <v>0</v>
      </c>
      <c r="P418" s="52">
        <v>0</v>
      </c>
      <c r="Q418" s="52">
        <v>0</v>
      </c>
      <c r="R418" s="52">
        <v>0</v>
      </c>
      <c r="S418" s="52">
        <v>0</v>
      </c>
    </row>
    <row r="419" spans="1:19">
      <c r="A419" t="s">
        <v>574</v>
      </c>
      <c r="D419" s="45">
        <v>31425</v>
      </c>
      <c r="E419" s="45">
        <v>36017</v>
      </c>
      <c r="F419" s="45">
        <v>32788</v>
      </c>
      <c r="G419" s="29">
        <v>49350</v>
      </c>
      <c r="H419" s="29">
        <v>42840</v>
      </c>
      <c r="I419" s="29">
        <v>38031</v>
      </c>
      <c r="J419" s="52">
        <v>32120</v>
      </c>
      <c r="K419" s="52" t="s">
        <v>4</v>
      </c>
      <c r="L419" s="52" t="s">
        <v>4</v>
      </c>
      <c r="M419" s="52">
        <v>0</v>
      </c>
      <c r="N419" s="52">
        <v>0</v>
      </c>
      <c r="O419" s="52">
        <v>0</v>
      </c>
      <c r="P419" s="52">
        <v>0</v>
      </c>
      <c r="Q419" s="52">
        <v>0</v>
      </c>
      <c r="R419" s="52">
        <v>0</v>
      </c>
      <c r="S419" s="52">
        <v>0</v>
      </c>
    </row>
    <row r="420" spans="1:19">
      <c r="A420" t="s">
        <v>575</v>
      </c>
      <c r="B420">
        <v>0</v>
      </c>
      <c r="C420">
        <v>0</v>
      </c>
      <c r="D420">
        <v>6188</v>
      </c>
      <c r="E420">
        <v>6371</v>
      </c>
      <c r="F420">
        <v>7385</v>
      </c>
      <c r="G420" s="29">
        <v>5145</v>
      </c>
      <c r="H420" s="29">
        <v>4708</v>
      </c>
      <c r="I420" s="29">
        <v>7490</v>
      </c>
      <c r="J420" s="52">
        <v>3406</v>
      </c>
      <c r="K420" s="52" t="s">
        <v>4</v>
      </c>
      <c r="L420" s="52" t="s">
        <v>4</v>
      </c>
      <c r="M420" s="52">
        <v>0</v>
      </c>
      <c r="N420" s="52">
        <v>0</v>
      </c>
      <c r="O420" s="52">
        <v>0</v>
      </c>
      <c r="P420" s="52">
        <v>0</v>
      </c>
      <c r="Q420" s="52">
        <v>0</v>
      </c>
      <c r="R420" s="52">
        <v>0</v>
      </c>
      <c r="S420" s="52">
        <v>0</v>
      </c>
    </row>
    <row r="421" spans="1:19">
      <c r="E421" s="29"/>
      <c r="F421" s="29"/>
      <c r="G421" s="29"/>
      <c r="H421" s="29"/>
      <c r="I421" s="29"/>
    </row>
    <row r="422" spans="1:19">
      <c r="A422" s="23" t="s">
        <v>576</v>
      </c>
      <c r="B422" s="53">
        <f t="shared" ref="B422:D422" si="124">SUBTOTAL(9,B423:B423)</f>
        <v>415611</v>
      </c>
      <c r="C422" s="53">
        <f t="shared" si="124"/>
        <v>444129</v>
      </c>
      <c r="D422" s="53">
        <f t="shared" si="124"/>
        <v>668737</v>
      </c>
      <c r="E422" s="53">
        <f>SUBTOTAL(9,E423:E423)</f>
        <v>519702</v>
      </c>
      <c r="F422" s="53">
        <f t="shared" ref="F422" si="125">SUBTOTAL(9,F423:F423)</f>
        <v>326377</v>
      </c>
      <c r="G422" s="53">
        <f t="shared" ref="G422" si="126">SUBTOTAL(9,G423:G423)</f>
        <v>379578</v>
      </c>
      <c r="H422" s="53">
        <f t="shared" ref="H422" si="127">SUBTOTAL(9,H423:H423)</f>
        <v>454476</v>
      </c>
      <c r="I422" s="53">
        <f t="shared" ref="I422" si="128">SUBTOTAL(9,I423:I423)</f>
        <v>405039</v>
      </c>
      <c r="J422" s="23">
        <f t="shared" ref="J422:S422" si="129">SUBTOTAL(9,J423:J423)</f>
        <v>581616</v>
      </c>
      <c r="K422" s="23">
        <f t="shared" si="129"/>
        <v>968511</v>
      </c>
      <c r="L422" s="23">
        <f t="shared" si="129"/>
        <v>956499</v>
      </c>
      <c r="M422" s="23">
        <f t="shared" si="129"/>
        <v>985901</v>
      </c>
      <c r="N422" s="23">
        <f t="shared" si="129"/>
        <v>869195</v>
      </c>
      <c r="O422" s="23">
        <f t="shared" si="129"/>
        <v>1345402</v>
      </c>
      <c r="P422" s="23">
        <f t="shared" si="129"/>
        <v>1472500</v>
      </c>
      <c r="Q422" s="23">
        <f t="shared" si="129"/>
        <v>1287300</v>
      </c>
      <c r="R422" s="23">
        <f t="shared" si="129"/>
        <v>1314900</v>
      </c>
      <c r="S422" s="23">
        <f t="shared" si="129"/>
        <v>1259300</v>
      </c>
    </row>
    <row r="423" spans="1:19">
      <c r="A423" s="24" t="s">
        <v>577</v>
      </c>
      <c r="B423" s="52">
        <v>415611</v>
      </c>
      <c r="C423" s="52">
        <v>444129</v>
      </c>
      <c r="D423" s="45">
        <v>668737</v>
      </c>
      <c r="E423" s="45">
        <v>519702</v>
      </c>
      <c r="F423">
        <v>326377</v>
      </c>
      <c r="G423" s="29">
        <v>379578</v>
      </c>
      <c r="H423" s="29">
        <v>454476</v>
      </c>
      <c r="I423" s="29">
        <v>405039</v>
      </c>
      <c r="J423" s="52">
        <v>581616</v>
      </c>
      <c r="K423" s="52">
        <v>968511</v>
      </c>
      <c r="L423" s="52">
        <v>956499</v>
      </c>
      <c r="M423" s="52">
        <v>985901</v>
      </c>
      <c r="N423" s="52">
        <v>869195</v>
      </c>
      <c r="O423" s="52">
        <v>1345402</v>
      </c>
      <c r="P423" s="52">
        <v>1472500</v>
      </c>
      <c r="Q423" s="52">
        <v>1287300</v>
      </c>
      <c r="R423" s="52">
        <v>1314900</v>
      </c>
      <c r="S423" s="52">
        <v>1259300</v>
      </c>
    </row>
    <row r="424" spans="1:19">
      <c r="A424" s="37"/>
      <c r="B424" s="37"/>
      <c r="C424" s="37"/>
      <c r="D424" s="34"/>
      <c r="E424" s="34"/>
      <c r="F424" s="34"/>
      <c r="G424" s="34"/>
      <c r="H424" s="34"/>
      <c r="I424" s="34"/>
      <c r="J424" s="37"/>
      <c r="K424" s="37"/>
      <c r="L424" s="37"/>
      <c r="M424" s="37"/>
      <c r="N424" s="37"/>
      <c r="O424" s="37"/>
      <c r="P424" s="37"/>
      <c r="Q424" s="37"/>
      <c r="R424" s="37"/>
      <c r="S424" s="37"/>
    </row>
    <row r="425" spans="1:19">
      <c r="A425" s="23" t="s">
        <v>578</v>
      </c>
      <c r="B425" s="53">
        <f t="shared" ref="B425:S425" si="130">SUBTOTAL(9,B427:B477)</f>
        <v>19442175</v>
      </c>
      <c r="C425" s="53">
        <f t="shared" si="130"/>
        <v>17217116</v>
      </c>
      <c r="D425" s="53">
        <f t="shared" si="130"/>
        <v>13613054</v>
      </c>
      <c r="E425" s="53">
        <f t="shared" si="130"/>
        <v>18815396</v>
      </c>
      <c r="F425" s="53">
        <f t="shared" si="130"/>
        <v>13721435</v>
      </c>
      <c r="G425" s="53">
        <f t="shared" si="130"/>
        <v>14911102</v>
      </c>
      <c r="H425" s="53">
        <f t="shared" si="130"/>
        <v>23399237</v>
      </c>
      <c r="I425" s="53">
        <f t="shared" si="130"/>
        <v>22079691</v>
      </c>
      <c r="J425" s="23">
        <f t="shared" si="130"/>
        <v>25852400</v>
      </c>
      <c r="K425" s="23">
        <f t="shared" si="130"/>
        <v>30592058</v>
      </c>
      <c r="L425" s="23">
        <f t="shared" si="130"/>
        <v>31487083</v>
      </c>
      <c r="M425" s="23">
        <f t="shared" si="130"/>
        <v>36694596</v>
      </c>
      <c r="N425" s="23">
        <f t="shared" si="130"/>
        <v>37773362</v>
      </c>
      <c r="O425" s="23">
        <f t="shared" si="130"/>
        <v>34024587</v>
      </c>
      <c r="P425" s="23">
        <f t="shared" si="130"/>
        <v>33133800</v>
      </c>
      <c r="Q425" s="23">
        <f t="shared" si="130"/>
        <v>28541900</v>
      </c>
      <c r="R425" s="23">
        <f t="shared" si="130"/>
        <v>25094900</v>
      </c>
      <c r="S425" s="23">
        <f t="shared" si="130"/>
        <v>21525300</v>
      </c>
    </row>
    <row r="426" spans="1:19">
      <c r="A426" s="23"/>
      <c r="B426" s="23"/>
      <c r="C426" s="23"/>
      <c r="J426" s="23"/>
      <c r="K426" s="23"/>
      <c r="L426" s="23"/>
      <c r="M426" s="23"/>
      <c r="N426" s="23"/>
      <c r="O426" s="23"/>
      <c r="P426" s="23"/>
      <c r="Q426" s="23"/>
      <c r="R426" s="23"/>
      <c r="S426" s="23"/>
    </row>
    <row r="427" spans="1:19">
      <c r="A427" s="23" t="s">
        <v>579</v>
      </c>
      <c r="B427" s="29">
        <f t="shared" ref="B427:D427" si="131">SUBTOTAL(9,B428:B433)</f>
        <v>0</v>
      </c>
      <c r="C427" s="29">
        <f t="shared" si="131"/>
        <v>0</v>
      </c>
      <c r="D427" s="53">
        <f t="shared" si="131"/>
        <v>0</v>
      </c>
      <c r="E427" s="53">
        <f>SUBTOTAL(9,E428:E433)</f>
        <v>2320281</v>
      </c>
      <c r="F427" s="53">
        <f t="shared" ref="F427:S427" si="132">SUBTOTAL(9,F428:F433)</f>
        <v>3507141</v>
      </c>
      <c r="G427" s="53">
        <f t="shared" si="132"/>
        <v>25631</v>
      </c>
      <c r="H427" s="53">
        <f t="shared" si="132"/>
        <v>4451169</v>
      </c>
      <c r="I427" s="53">
        <f t="shared" si="132"/>
        <v>5885066</v>
      </c>
      <c r="J427" s="53">
        <f t="shared" si="132"/>
        <v>5494500</v>
      </c>
      <c r="K427" s="53">
        <f t="shared" si="132"/>
        <v>5212060</v>
      </c>
      <c r="L427" s="53">
        <f t="shared" si="132"/>
        <v>6260862</v>
      </c>
      <c r="M427" s="53">
        <f t="shared" si="132"/>
        <v>6570653</v>
      </c>
      <c r="N427" s="53">
        <f t="shared" si="132"/>
        <v>8349319</v>
      </c>
      <c r="O427" s="53">
        <f t="shared" si="132"/>
        <v>4997998</v>
      </c>
      <c r="P427" s="53">
        <f t="shared" si="132"/>
        <v>2948400</v>
      </c>
      <c r="Q427" s="53">
        <f t="shared" si="132"/>
        <v>3780600</v>
      </c>
      <c r="R427" s="53">
        <f t="shared" si="132"/>
        <v>3666300</v>
      </c>
      <c r="S427" s="53">
        <f t="shared" si="132"/>
        <v>5585900</v>
      </c>
    </row>
    <row r="428" spans="1:19">
      <c r="A428" t="s">
        <v>580</v>
      </c>
      <c r="D428">
        <v>0</v>
      </c>
      <c r="E428">
        <v>0</v>
      </c>
      <c r="F428">
        <v>0</v>
      </c>
      <c r="G428" s="29">
        <v>0</v>
      </c>
      <c r="H428" s="29">
        <v>3003115</v>
      </c>
      <c r="I428" s="29">
        <v>3878418</v>
      </c>
      <c r="J428" s="24">
        <v>3440718</v>
      </c>
      <c r="K428" s="24">
        <v>4253501</v>
      </c>
      <c r="L428" s="24">
        <v>5337953</v>
      </c>
      <c r="M428" s="24">
        <v>4189634</v>
      </c>
      <c r="N428" s="24">
        <v>5150784</v>
      </c>
      <c r="O428" s="24">
        <v>2829814</v>
      </c>
      <c r="P428" s="24">
        <v>2006100</v>
      </c>
      <c r="Q428" s="24">
        <v>1518400</v>
      </c>
      <c r="R428" s="24">
        <v>2767700</v>
      </c>
      <c r="S428" s="24">
        <v>4879000</v>
      </c>
    </row>
    <row r="429" spans="1:19">
      <c r="A429" t="s">
        <v>581</v>
      </c>
      <c r="D429">
        <v>0</v>
      </c>
      <c r="E429">
        <v>0</v>
      </c>
      <c r="F429">
        <v>0</v>
      </c>
      <c r="G429" s="29">
        <v>0</v>
      </c>
      <c r="H429" s="29">
        <v>454943</v>
      </c>
      <c r="I429" s="29">
        <v>268118</v>
      </c>
      <c r="J429" s="24">
        <v>336948</v>
      </c>
      <c r="K429" s="24">
        <v>464899</v>
      </c>
      <c r="L429" s="24">
        <v>796104</v>
      </c>
      <c r="M429" s="24">
        <v>747479</v>
      </c>
      <c r="N429" s="24">
        <v>889524</v>
      </c>
      <c r="O429" s="24">
        <v>183469</v>
      </c>
      <c r="P429" s="24">
        <v>0</v>
      </c>
      <c r="Q429" s="24">
        <v>0</v>
      </c>
      <c r="R429" s="24">
        <v>0</v>
      </c>
      <c r="S429" s="24">
        <v>0</v>
      </c>
    </row>
    <row r="430" spans="1:19">
      <c r="A430" t="s">
        <v>582</v>
      </c>
      <c r="D430">
        <v>0</v>
      </c>
      <c r="E430">
        <v>0</v>
      </c>
      <c r="F430">
        <v>0</v>
      </c>
      <c r="G430" s="29">
        <v>0</v>
      </c>
      <c r="H430" s="29">
        <v>993111</v>
      </c>
      <c r="I430" s="29">
        <v>1710878</v>
      </c>
      <c r="J430" s="24">
        <v>1716834</v>
      </c>
      <c r="K430" s="24">
        <v>493660</v>
      </c>
      <c r="L430" s="24">
        <v>126805</v>
      </c>
      <c r="M430" s="24">
        <v>1633540</v>
      </c>
      <c r="N430" s="24">
        <v>2309011</v>
      </c>
      <c r="O430" s="24">
        <v>1984715</v>
      </c>
      <c r="P430" s="24">
        <v>942300</v>
      </c>
      <c r="Q430" s="24">
        <v>2262200</v>
      </c>
      <c r="R430" s="24">
        <v>898600</v>
      </c>
      <c r="S430" s="24">
        <v>706900</v>
      </c>
    </row>
    <row r="431" spans="1:19">
      <c r="A431" t="s">
        <v>583</v>
      </c>
      <c r="D431">
        <v>0</v>
      </c>
      <c r="E431">
        <v>0</v>
      </c>
      <c r="F431">
        <v>0</v>
      </c>
      <c r="G431" s="29">
        <v>0</v>
      </c>
      <c r="H431" s="29">
        <v>0</v>
      </c>
      <c r="I431" s="29">
        <v>27652</v>
      </c>
      <c r="J431" s="24" t="s">
        <v>4</v>
      </c>
      <c r="K431" s="24" t="s">
        <v>4</v>
      </c>
      <c r="L431" s="24" t="s">
        <v>4</v>
      </c>
      <c r="M431" s="24">
        <v>0</v>
      </c>
      <c r="N431" s="24">
        <v>0</v>
      </c>
      <c r="O431" s="24">
        <v>0</v>
      </c>
      <c r="P431" s="24">
        <v>0</v>
      </c>
      <c r="Q431" s="24">
        <v>0</v>
      </c>
      <c r="R431" s="24">
        <v>0</v>
      </c>
      <c r="S431" s="24">
        <v>0</v>
      </c>
    </row>
    <row r="432" spans="1:19">
      <c r="A432" t="s">
        <v>584</v>
      </c>
      <c r="B432">
        <v>0</v>
      </c>
      <c r="C432">
        <v>0</v>
      </c>
      <c r="D432">
        <v>0</v>
      </c>
      <c r="E432">
        <v>2320281</v>
      </c>
      <c r="F432">
        <v>3507141</v>
      </c>
      <c r="G432" s="29">
        <v>4841</v>
      </c>
      <c r="H432" s="29">
        <v>0</v>
      </c>
      <c r="I432" s="29">
        <v>0</v>
      </c>
      <c r="J432" s="24"/>
      <c r="K432" s="24"/>
      <c r="L432" s="24"/>
      <c r="M432" s="24"/>
      <c r="N432" s="24"/>
      <c r="O432" s="24"/>
      <c r="P432" s="24"/>
      <c r="Q432" s="24"/>
      <c r="R432" s="24"/>
      <c r="S432" s="24"/>
    </row>
    <row r="433" spans="1:19">
      <c r="A433" t="s">
        <v>585</v>
      </c>
      <c r="E433" s="29">
        <v>0</v>
      </c>
      <c r="F433" s="29">
        <v>0</v>
      </c>
      <c r="G433" s="29">
        <v>20790</v>
      </c>
      <c r="H433" s="29">
        <v>0</v>
      </c>
      <c r="I433" s="29">
        <v>0</v>
      </c>
      <c r="J433" s="24"/>
      <c r="K433" s="24"/>
      <c r="L433" s="24"/>
      <c r="M433" s="24"/>
      <c r="N433" s="24"/>
      <c r="O433" s="24"/>
      <c r="P433" s="24"/>
      <c r="Q433" s="24"/>
      <c r="R433" s="24"/>
      <c r="S433" s="24"/>
    </row>
    <row r="434" spans="1:19">
      <c r="E434" s="29"/>
      <c r="F434" s="29"/>
      <c r="G434" s="29"/>
      <c r="H434" s="29"/>
      <c r="I434" s="29"/>
      <c r="J434" s="24">
        <v>0</v>
      </c>
      <c r="K434" s="24">
        <v>0</v>
      </c>
      <c r="L434" s="24">
        <v>0</v>
      </c>
      <c r="M434" s="24">
        <v>0</v>
      </c>
      <c r="N434" s="24">
        <v>0</v>
      </c>
      <c r="O434" s="24">
        <v>5124</v>
      </c>
      <c r="P434" s="24">
        <v>0</v>
      </c>
      <c r="Q434" s="24">
        <v>0</v>
      </c>
      <c r="R434" s="24">
        <v>0</v>
      </c>
      <c r="S434" s="24">
        <v>0</v>
      </c>
    </row>
    <row r="435" spans="1:19">
      <c r="E435" s="29"/>
      <c r="F435" s="29"/>
      <c r="G435" s="29"/>
      <c r="H435" s="29"/>
    </row>
    <row r="436" spans="1:19">
      <c r="A436" s="23" t="s">
        <v>586</v>
      </c>
      <c r="B436" s="53">
        <f t="shared" ref="B436:S436" si="133">SUBTOTAL(9,B437:B442)</f>
        <v>11633150</v>
      </c>
      <c r="C436" s="53">
        <f t="shared" si="133"/>
        <v>9433150</v>
      </c>
      <c r="D436" s="53">
        <f t="shared" si="133"/>
        <v>6354155</v>
      </c>
      <c r="E436" s="53">
        <f>SUBTOTAL(9,E437:E442)</f>
        <v>8545871</v>
      </c>
      <c r="F436" s="53">
        <f t="shared" si="133"/>
        <v>3868773</v>
      </c>
      <c r="G436" s="53">
        <f t="shared" si="133"/>
        <v>5620723</v>
      </c>
      <c r="H436" s="53">
        <f t="shared" si="133"/>
        <v>8558747</v>
      </c>
      <c r="I436" s="53">
        <f t="shared" si="133"/>
        <v>5817372</v>
      </c>
      <c r="J436" s="23">
        <f t="shared" si="133"/>
        <v>11607084</v>
      </c>
      <c r="K436" s="23">
        <f t="shared" si="133"/>
        <v>13054173</v>
      </c>
      <c r="L436" s="23">
        <f t="shared" si="133"/>
        <v>13760527</v>
      </c>
      <c r="M436" s="23">
        <f t="shared" si="133"/>
        <v>14751233</v>
      </c>
      <c r="N436" s="23">
        <f t="shared" si="133"/>
        <v>11352804</v>
      </c>
      <c r="O436" s="23">
        <f t="shared" si="133"/>
        <v>9554079</v>
      </c>
      <c r="P436" s="23">
        <f t="shared" si="133"/>
        <v>7319800</v>
      </c>
      <c r="Q436" s="23">
        <f t="shared" si="133"/>
        <v>6287300</v>
      </c>
      <c r="R436" s="23">
        <f t="shared" si="133"/>
        <v>5082000</v>
      </c>
      <c r="S436" s="23">
        <f t="shared" si="133"/>
        <v>3832200</v>
      </c>
    </row>
    <row r="437" spans="1:19">
      <c r="A437" t="s">
        <v>587</v>
      </c>
      <c r="B437">
        <v>10008058</v>
      </c>
      <c r="C437">
        <v>8107358</v>
      </c>
      <c r="D437">
        <v>3474562</v>
      </c>
      <c r="E437">
        <v>3547559</v>
      </c>
      <c r="F437">
        <v>2968199</v>
      </c>
      <c r="G437" s="29">
        <v>3805432</v>
      </c>
      <c r="H437" s="29">
        <v>5513723</v>
      </c>
      <c r="I437" s="29">
        <v>3959209</v>
      </c>
      <c r="J437" s="24">
        <v>10163923</v>
      </c>
      <c r="K437" s="24">
        <v>10894179</v>
      </c>
      <c r="L437" s="24">
        <v>11652821</v>
      </c>
      <c r="M437" s="24">
        <v>11979978</v>
      </c>
      <c r="N437" s="24">
        <v>8831295</v>
      </c>
      <c r="O437" s="24">
        <v>7060713</v>
      </c>
      <c r="P437" s="24">
        <v>5564000</v>
      </c>
      <c r="Q437" s="24">
        <v>5282200</v>
      </c>
      <c r="R437" s="24">
        <v>4183200</v>
      </c>
      <c r="S437" s="24">
        <v>2581500</v>
      </c>
    </row>
    <row r="438" spans="1:19">
      <c r="A438" t="s">
        <v>588</v>
      </c>
      <c r="B438">
        <v>1001509</v>
      </c>
      <c r="C438">
        <v>1001509</v>
      </c>
      <c r="D438">
        <v>912602</v>
      </c>
      <c r="E438">
        <v>965118</v>
      </c>
      <c r="F438">
        <v>576291</v>
      </c>
      <c r="G438" s="29">
        <v>1337579</v>
      </c>
      <c r="H438" s="29">
        <v>2464577</v>
      </c>
      <c r="I438" s="29">
        <v>878987</v>
      </c>
      <c r="J438" s="24">
        <v>443947</v>
      </c>
      <c r="K438" s="24">
        <v>782679</v>
      </c>
      <c r="L438" s="24">
        <v>782021</v>
      </c>
      <c r="M438" s="24">
        <v>1724052</v>
      </c>
      <c r="N438" s="24">
        <v>1588606</v>
      </c>
      <c r="O438" s="24">
        <v>1704247</v>
      </c>
      <c r="P438" s="24">
        <v>1538200</v>
      </c>
      <c r="Q438" s="24">
        <v>854800</v>
      </c>
      <c r="R438" s="24">
        <v>639800</v>
      </c>
      <c r="S438" s="24">
        <v>863300</v>
      </c>
    </row>
    <row r="439" spans="1:19">
      <c r="A439" t="s">
        <v>589</v>
      </c>
      <c r="G439" s="29">
        <v>0</v>
      </c>
      <c r="H439" s="29">
        <v>0</v>
      </c>
      <c r="I439" s="29">
        <v>419579</v>
      </c>
      <c r="J439" s="24">
        <v>51674</v>
      </c>
      <c r="K439" s="24">
        <v>317832</v>
      </c>
      <c r="L439" s="24">
        <v>229535</v>
      </c>
      <c r="M439" s="24">
        <v>0</v>
      </c>
      <c r="N439" s="24">
        <v>15250</v>
      </c>
      <c r="O439" s="24">
        <v>124674</v>
      </c>
      <c r="P439" s="24">
        <v>137500</v>
      </c>
      <c r="Q439" s="24">
        <v>150300</v>
      </c>
      <c r="R439" s="24">
        <v>259000</v>
      </c>
      <c r="S439" s="24">
        <v>387400</v>
      </c>
    </row>
    <row r="440" spans="1:19">
      <c r="A440" t="s">
        <v>590</v>
      </c>
      <c r="B440">
        <v>0</v>
      </c>
      <c r="C440">
        <v>0</v>
      </c>
      <c r="D440">
        <v>1713600</v>
      </c>
      <c r="E440">
        <v>3719008</v>
      </c>
      <c r="F440">
        <v>0</v>
      </c>
      <c r="G440" s="29">
        <v>225792</v>
      </c>
      <c r="H440" s="29">
        <v>119950</v>
      </c>
      <c r="I440" s="29">
        <v>0</v>
      </c>
      <c r="J440" s="24">
        <v>107032</v>
      </c>
      <c r="K440" s="24">
        <v>103140</v>
      </c>
      <c r="L440" s="24">
        <v>101590</v>
      </c>
      <c r="M440" s="24">
        <v>88224</v>
      </c>
      <c r="N440" s="24">
        <v>85665</v>
      </c>
      <c r="O440" s="24">
        <v>82135</v>
      </c>
      <c r="P440" s="24">
        <v>80100</v>
      </c>
      <c r="Q440" s="24">
        <v>0</v>
      </c>
      <c r="R440" s="24">
        <v>0</v>
      </c>
      <c r="S440" s="24">
        <v>0</v>
      </c>
    </row>
    <row r="441" spans="1:19">
      <c r="A441" t="s">
        <v>591</v>
      </c>
      <c r="B441">
        <v>623583</v>
      </c>
      <c r="C441">
        <v>324283</v>
      </c>
      <c r="D441">
        <v>253391</v>
      </c>
      <c r="E441">
        <v>314186</v>
      </c>
      <c r="F441">
        <v>324283</v>
      </c>
      <c r="G441" s="29">
        <v>251920</v>
      </c>
      <c r="H441" s="29">
        <v>441873</v>
      </c>
      <c r="I441" s="29">
        <v>557108</v>
      </c>
      <c r="J441" s="24">
        <v>823149</v>
      </c>
      <c r="K441" s="24">
        <v>915568</v>
      </c>
      <c r="L441" s="24">
        <v>931220</v>
      </c>
      <c r="M441" s="24">
        <v>876743</v>
      </c>
      <c r="N441" s="24">
        <v>769908</v>
      </c>
      <c r="O441" s="24">
        <v>537033</v>
      </c>
      <c r="P441" s="24">
        <v>0</v>
      </c>
      <c r="Q441" s="24">
        <v>0</v>
      </c>
      <c r="R441" s="24">
        <v>0</v>
      </c>
      <c r="S441" s="24">
        <v>0</v>
      </c>
    </row>
    <row r="442" spans="1:19">
      <c r="A442" t="s">
        <v>592</v>
      </c>
      <c r="D442">
        <v>0</v>
      </c>
      <c r="E442">
        <v>0</v>
      </c>
      <c r="F442">
        <v>0</v>
      </c>
      <c r="G442" s="29">
        <v>0</v>
      </c>
      <c r="H442" s="29">
        <v>18624</v>
      </c>
      <c r="I442" s="29">
        <v>2489</v>
      </c>
      <c r="J442" s="24">
        <v>17359</v>
      </c>
      <c r="K442" s="24">
        <v>40775</v>
      </c>
      <c r="L442" s="24">
        <v>63340</v>
      </c>
      <c r="M442" s="24">
        <v>82236</v>
      </c>
      <c r="N442" s="24">
        <v>62080</v>
      </c>
      <c r="O442" s="24">
        <v>45277</v>
      </c>
      <c r="P442" s="24">
        <v>0</v>
      </c>
      <c r="Q442" s="24">
        <v>0</v>
      </c>
      <c r="R442" s="24">
        <v>0</v>
      </c>
      <c r="S442" s="24">
        <v>0</v>
      </c>
    </row>
    <row r="443" spans="1:19">
      <c r="E443" s="29"/>
      <c r="F443" s="29"/>
      <c r="G443" s="29"/>
      <c r="H443" s="29"/>
      <c r="I443" s="29"/>
    </row>
    <row r="444" spans="1:19">
      <c r="A444" s="23" t="s">
        <v>593</v>
      </c>
      <c r="B444" s="53">
        <f t="shared" ref="B444:D444" si="134">SUBTOTAL(9,B445:B445)</f>
        <v>0</v>
      </c>
      <c r="C444" s="53">
        <f t="shared" si="134"/>
        <v>0</v>
      </c>
      <c r="D444" s="53">
        <f t="shared" si="134"/>
        <v>138194</v>
      </c>
      <c r="E444" s="53">
        <f>SUBTOTAL(9,E445:E445)</f>
        <v>364831</v>
      </c>
      <c r="F444" s="53">
        <f>SUBTOTAL(9,F445:F445)</f>
        <v>202386</v>
      </c>
      <c r="G444" s="53">
        <f t="shared" ref="G444" si="135">SUBTOTAL(9,G445:G445)</f>
        <v>-2696</v>
      </c>
      <c r="H444" s="53">
        <f t="shared" ref="H444" si="136">SUBTOTAL(9,H445:H445)</f>
        <v>52342</v>
      </c>
      <c r="I444" s="53">
        <f t="shared" ref="I444" si="137">SUBTOTAL(9,I445:I445)</f>
        <v>4725</v>
      </c>
      <c r="J444" s="23">
        <f t="shared" ref="J444:S444" si="138">SUBTOTAL(9,J445:J445)</f>
        <v>0</v>
      </c>
      <c r="K444" s="23">
        <f t="shared" si="138"/>
        <v>599</v>
      </c>
      <c r="L444" s="23">
        <f t="shared" si="138"/>
        <v>3606</v>
      </c>
      <c r="M444" s="23">
        <f t="shared" si="138"/>
        <v>0</v>
      </c>
      <c r="N444" s="23">
        <f t="shared" si="138"/>
        <v>0</v>
      </c>
      <c r="O444" s="23">
        <f t="shared" si="138"/>
        <v>0</v>
      </c>
      <c r="P444" s="23">
        <f t="shared" si="138"/>
        <v>0</v>
      </c>
      <c r="Q444" s="23">
        <f t="shared" si="138"/>
        <v>0</v>
      </c>
      <c r="R444" s="23">
        <f t="shared" si="138"/>
        <v>0</v>
      </c>
      <c r="S444" s="23">
        <f t="shared" si="138"/>
        <v>0</v>
      </c>
    </row>
    <row r="445" spans="1:19">
      <c r="A445" t="s">
        <v>594</v>
      </c>
      <c r="B445">
        <v>0</v>
      </c>
      <c r="C445">
        <v>0</v>
      </c>
      <c r="D445">
        <v>138194</v>
      </c>
      <c r="E445">
        <v>364831</v>
      </c>
      <c r="F445">
        <v>202386</v>
      </c>
      <c r="G445" s="29">
        <v>-2696</v>
      </c>
      <c r="H445" s="29">
        <v>52342</v>
      </c>
      <c r="I445" s="29">
        <v>4725</v>
      </c>
      <c r="J445" s="24" t="s">
        <v>6</v>
      </c>
      <c r="K445" s="24">
        <v>599</v>
      </c>
      <c r="L445" s="24">
        <v>3606</v>
      </c>
      <c r="M445" s="24">
        <v>0</v>
      </c>
      <c r="N445" s="24">
        <v>0</v>
      </c>
      <c r="O445" s="24">
        <v>0</v>
      </c>
      <c r="P445" s="24">
        <v>0</v>
      </c>
      <c r="Q445" s="24">
        <v>0</v>
      </c>
      <c r="R445" s="24">
        <v>0</v>
      </c>
      <c r="S445" s="24">
        <v>0</v>
      </c>
    </row>
    <row r="446" spans="1:19">
      <c r="E446" s="29"/>
      <c r="F446" s="29"/>
      <c r="G446" s="29"/>
      <c r="H446" s="29"/>
      <c r="I446" s="29"/>
    </row>
    <row r="447" spans="1:19">
      <c r="A447" s="23" t="s">
        <v>595</v>
      </c>
      <c r="B447" s="53">
        <f t="shared" ref="B447:S447" si="139">SUBTOTAL(9,B448:B450)</f>
        <v>2815385</v>
      </c>
      <c r="C447" s="53">
        <f t="shared" si="139"/>
        <v>2825385</v>
      </c>
      <c r="D447" s="53">
        <f t="shared" si="139"/>
        <v>0</v>
      </c>
      <c r="E447" s="53">
        <f>SUBTOTAL(9,E448:E450)</f>
        <v>583855</v>
      </c>
      <c r="F447" s="53">
        <f t="shared" si="139"/>
        <v>0</v>
      </c>
      <c r="G447" s="53">
        <f t="shared" si="139"/>
        <v>4335356</v>
      </c>
      <c r="H447" s="53">
        <f t="shared" si="139"/>
        <v>3731679</v>
      </c>
      <c r="I447" s="53">
        <f t="shared" si="139"/>
        <v>3829739</v>
      </c>
      <c r="J447" s="23">
        <f t="shared" si="139"/>
        <v>2342086</v>
      </c>
      <c r="K447" s="23">
        <f t="shared" si="139"/>
        <v>2965834</v>
      </c>
      <c r="L447" s="23">
        <f t="shared" si="139"/>
        <v>2908688</v>
      </c>
      <c r="M447" s="23">
        <f t="shared" si="139"/>
        <v>5532416</v>
      </c>
      <c r="N447" s="23">
        <f t="shared" si="139"/>
        <v>4848557</v>
      </c>
      <c r="O447" s="23">
        <f t="shared" si="139"/>
        <v>4232089</v>
      </c>
      <c r="P447" s="23">
        <f t="shared" si="139"/>
        <v>5141300</v>
      </c>
      <c r="Q447" s="23">
        <f t="shared" si="139"/>
        <v>4477600</v>
      </c>
      <c r="R447" s="23">
        <f t="shared" si="139"/>
        <v>4456100</v>
      </c>
      <c r="S447" s="23">
        <f t="shared" si="139"/>
        <v>5537300</v>
      </c>
    </row>
    <row r="448" spans="1:19">
      <c r="A448" t="s">
        <v>596</v>
      </c>
      <c r="B448">
        <v>2815385</v>
      </c>
      <c r="C448">
        <v>2825385</v>
      </c>
      <c r="D448">
        <v>0</v>
      </c>
      <c r="E448">
        <v>0</v>
      </c>
      <c r="F448">
        <v>0</v>
      </c>
      <c r="G448" s="29">
        <v>0</v>
      </c>
      <c r="H448" s="29">
        <v>3731679</v>
      </c>
      <c r="I448" s="29">
        <v>3820432</v>
      </c>
      <c r="J448" s="24">
        <v>2315798</v>
      </c>
      <c r="K448" s="24">
        <v>2965834</v>
      </c>
      <c r="L448" s="24">
        <v>2908688</v>
      </c>
      <c r="M448" s="24">
        <v>5527808</v>
      </c>
      <c r="N448" s="24">
        <v>4841611</v>
      </c>
      <c r="O448" s="24">
        <v>4210237</v>
      </c>
      <c r="P448" s="24">
        <v>5141300</v>
      </c>
      <c r="Q448" s="24">
        <v>4477600</v>
      </c>
      <c r="R448" s="24">
        <v>4456100</v>
      </c>
      <c r="S448" s="24">
        <v>5537300</v>
      </c>
    </row>
    <row r="449" spans="1:19">
      <c r="A449" t="s">
        <v>597</v>
      </c>
      <c r="G449" s="29">
        <v>0</v>
      </c>
      <c r="H449" s="29">
        <v>0</v>
      </c>
      <c r="I449" s="29">
        <v>9307</v>
      </c>
      <c r="J449" s="24">
        <v>26288</v>
      </c>
      <c r="K449" s="24" t="s">
        <v>4</v>
      </c>
      <c r="L449" s="24" t="s">
        <v>4</v>
      </c>
      <c r="M449" s="24">
        <v>4608</v>
      </c>
      <c r="N449" s="24">
        <v>6946</v>
      </c>
      <c r="O449" s="24">
        <v>21852</v>
      </c>
      <c r="P449" s="24">
        <v>0</v>
      </c>
      <c r="Q449" s="24">
        <v>0</v>
      </c>
      <c r="R449" s="24">
        <v>0</v>
      </c>
      <c r="S449" s="24">
        <v>0</v>
      </c>
    </row>
    <row r="450" spans="1:19">
      <c r="A450" t="s">
        <v>598</v>
      </c>
      <c r="B450">
        <v>0</v>
      </c>
      <c r="C450">
        <v>0</v>
      </c>
      <c r="D450">
        <v>0</v>
      </c>
      <c r="E450">
        <v>583855</v>
      </c>
      <c r="F450">
        <v>0</v>
      </c>
      <c r="G450" s="29">
        <v>4335356</v>
      </c>
      <c r="H450" s="29">
        <v>0</v>
      </c>
      <c r="I450" s="29">
        <v>0</v>
      </c>
      <c r="J450" s="24"/>
      <c r="K450" s="24"/>
      <c r="L450" s="24"/>
      <c r="M450" s="24"/>
      <c r="N450" s="24"/>
      <c r="O450" s="24"/>
      <c r="P450" s="24"/>
      <c r="Q450" s="24"/>
      <c r="R450" s="24"/>
      <c r="S450" s="24"/>
    </row>
    <row r="451" spans="1:19">
      <c r="E451" s="29"/>
      <c r="F451" s="29"/>
      <c r="G451" s="29"/>
      <c r="H451" s="29"/>
      <c r="I451" s="29"/>
    </row>
    <row r="452" spans="1:19">
      <c r="A452" s="23" t="s">
        <v>599</v>
      </c>
      <c r="B452" s="53">
        <f t="shared" ref="B452:I452" si="140">SUBTOTAL(9,B453:B458)</f>
        <v>1447795</v>
      </c>
      <c r="C452" s="53">
        <f t="shared" si="140"/>
        <v>1412736</v>
      </c>
      <c r="D452" s="53">
        <f t="shared" si="140"/>
        <v>2306604</v>
      </c>
      <c r="E452" s="53">
        <f>SUBTOTAL(9,E453:E458)</f>
        <v>3253547</v>
      </c>
      <c r="F452" s="53">
        <f t="shared" si="140"/>
        <v>2836227</v>
      </c>
      <c r="G452" s="53">
        <f t="shared" si="140"/>
        <v>1158534</v>
      </c>
      <c r="H452" s="53">
        <f t="shared" si="140"/>
        <v>2717289</v>
      </c>
      <c r="I452" s="53">
        <f t="shared" si="140"/>
        <v>3440662</v>
      </c>
      <c r="J452" s="23">
        <f t="shared" ref="J452:S452" si="141">SUBTOTAL(9,J454:J461)</f>
        <v>1575259</v>
      </c>
      <c r="K452" s="23">
        <f t="shared" si="141"/>
        <v>2990474</v>
      </c>
      <c r="L452" s="23">
        <f t="shared" si="141"/>
        <v>2377706</v>
      </c>
      <c r="M452" s="23">
        <f t="shared" si="141"/>
        <v>2679862</v>
      </c>
      <c r="N452" s="23">
        <f t="shared" si="141"/>
        <v>2684838</v>
      </c>
      <c r="O452" s="23">
        <f t="shared" si="141"/>
        <v>2897584</v>
      </c>
      <c r="P452" s="23">
        <f t="shared" si="141"/>
        <v>6060200</v>
      </c>
      <c r="Q452" s="23">
        <f t="shared" si="141"/>
        <v>4809500</v>
      </c>
      <c r="R452" s="23">
        <f t="shared" si="141"/>
        <v>6477500</v>
      </c>
      <c r="S452" s="23">
        <f t="shared" si="141"/>
        <v>2818400</v>
      </c>
    </row>
    <row r="453" spans="1:19">
      <c r="A453" t="s">
        <v>600</v>
      </c>
      <c r="B453">
        <v>0</v>
      </c>
      <c r="C453">
        <v>0</v>
      </c>
      <c r="D453">
        <v>0</v>
      </c>
      <c r="E453">
        <v>50000</v>
      </c>
      <c r="F453">
        <v>50000</v>
      </c>
      <c r="G453" s="29">
        <v>0</v>
      </c>
      <c r="H453" s="29">
        <v>0</v>
      </c>
      <c r="I453" s="29">
        <v>0</v>
      </c>
    </row>
    <row r="454" spans="1:19">
      <c r="A454" t="s">
        <v>601</v>
      </c>
      <c r="D454">
        <v>0</v>
      </c>
      <c r="E454">
        <v>0</v>
      </c>
      <c r="F454">
        <v>0</v>
      </c>
      <c r="G454" s="29">
        <v>0</v>
      </c>
      <c r="H454" s="29">
        <v>0</v>
      </c>
      <c r="I454" s="29">
        <v>0</v>
      </c>
    </row>
    <row r="455" spans="1:19">
      <c r="A455" t="s">
        <v>602</v>
      </c>
      <c r="B455">
        <v>0</v>
      </c>
      <c r="C455">
        <v>0</v>
      </c>
      <c r="D455">
        <v>0</v>
      </c>
      <c r="E455">
        <v>58200</v>
      </c>
      <c r="F455">
        <v>267923</v>
      </c>
      <c r="G455" s="29">
        <v>8</v>
      </c>
      <c r="H455" s="29">
        <v>-41695</v>
      </c>
      <c r="I455" s="29">
        <v>419184</v>
      </c>
      <c r="J455" s="24" t="s">
        <v>6</v>
      </c>
      <c r="K455" s="24" t="s">
        <v>6</v>
      </c>
      <c r="L455" s="24" t="s">
        <v>6</v>
      </c>
      <c r="M455" s="24">
        <v>214265</v>
      </c>
      <c r="N455" s="24">
        <v>0</v>
      </c>
      <c r="O455" s="24">
        <v>0</v>
      </c>
      <c r="P455" s="24">
        <v>0</v>
      </c>
      <c r="Q455" s="24">
        <v>0</v>
      </c>
      <c r="R455" s="24">
        <v>0</v>
      </c>
      <c r="S455" s="24">
        <v>0</v>
      </c>
    </row>
    <row r="456" spans="1:19">
      <c r="A456" t="s">
        <v>603</v>
      </c>
      <c r="B456">
        <v>1447795</v>
      </c>
      <c r="C456">
        <v>1412736</v>
      </c>
      <c r="D456">
        <v>2306604</v>
      </c>
      <c r="E456">
        <v>3145347</v>
      </c>
      <c r="F456">
        <v>2518304</v>
      </c>
      <c r="G456" s="29">
        <v>610098</v>
      </c>
      <c r="H456" s="29">
        <v>2758984</v>
      </c>
      <c r="I456" s="29">
        <v>3021478</v>
      </c>
      <c r="J456" s="24">
        <v>1575259</v>
      </c>
      <c r="K456" s="24">
        <v>2990474</v>
      </c>
      <c r="L456" s="24">
        <v>2377400</v>
      </c>
      <c r="M456" s="24">
        <v>2465014</v>
      </c>
      <c r="N456" s="24">
        <v>2683038</v>
      </c>
      <c r="O456" s="24">
        <v>2890403</v>
      </c>
      <c r="P456" s="24">
        <v>6060200</v>
      </c>
      <c r="Q456" s="24">
        <v>4809500</v>
      </c>
      <c r="R456" s="24">
        <v>6477500</v>
      </c>
      <c r="S456" s="24">
        <v>2818400</v>
      </c>
    </row>
    <row r="457" spans="1:19">
      <c r="A457" t="s">
        <v>604</v>
      </c>
      <c r="D457">
        <v>0</v>
      </c>
      <c r="E457">
        <v>0</v>
      </c>
      <c r="F457">
        <v>0</v>
      </c>
      <c r="G457" s="29">
        <v>523798</v>
      </c>
      <c r="H457" s="29">
        <v>0</v>
      </c>
      <c r="I457" s="29">
        <v>0</v>
      </c>
      <c r="J457" s="24">
        <v>0</v>
      </c>
      <c r="K457" s="24">
        <v>0</v>
      </c>
      <c r="L457" s="24">
        <v>0</v>
      </c>
      <c r="M457" s="24">
        <v>583</v>
      </c>
      <c r="N457" s="24">
        <v>1800</v>
      </c>
      <c r="O457" s="24">
        <v>0</v>
      </c>
      <c r="P457" s="24">
        <v>0</v>
      </c>
      <c r="Q457" s="24">
        <v>0</v>
      </c>
      <c r="R457" s="24">
        <v>0</v>
      </c>
      <c r="S457" s="24">
        <v>0</v>
      </c>
    </row>
    <row r="458" spans="1:19">
      <c r="A458" t="s">
        <v>605</v>
      </c>
      <c r="D458">
        <v>0</v>
      </c>
      <c r="E458">
        <v>0</v>
      </c>
      <c r="F458">
        <v>0</v>
      </c>
      <c r="G458" s="29">
        <v>24630</v>
      </c>
      <c r="H458" s="29">
        <v>0</v>
      </c>
      <c r="I458" s="29">
        <v>0</v>
      </c>
    </row>
    <row r="459" spans="1:19">
      <c r="E459" s="29"/>
      <c r="F459" s="29"/>
      <c r="G459" s="29"/>
      <c r="H459" s="29"/>
      <c r="I459" s="29"/>
      <c r="J459" s="24">
        <v>0</v>
      </c>
      <c r="K459" s="24">
        <v>0</v>
      </c>
      <c r="L459" s="24">
        <v>0</v>
      </c>
      <c r="M459" s="24">
        <v>0</v>
      </c>
      <c r="N459" s="24">
        <v>0</v>
      </c>
      <c r="O459" s="24">
        <v>7031</v>
      </c>
      <c r="P459" s="24">
        <v>0</v>
      </c>
      <c r="Q459" s="24">
        <v>0</v>
      </c>
      <c r="R459" s="24">
        <v>0</v>
      </c>
      <c r="S459" s="24">
        <v>0</v>
      </c>
    </row>
    <row r="460" spans="1:19">
      <c r="E460" s="29"/>
      <c r="F460" s="29"/>
      <c r="G460" s="29"/>
      <c r="H460" s="29"/>
      <c r="I460" s="29"/>
      <c r="J460" s="24">
        <v>0</v>
      </c>
      <c r="K460" s="24">
        <v>0</v>
      </c>
      <c r="L460" s="24">
        <v>0</v>
      </c>
      <c r="M460" s="24">
        <v>0</v>
      </c>
      <c r="N460" s="24">
        <v>0</v>
      </c>
      <c r="O460" s="24">
        <v>150</v>
      </c>
      <c r="P460" s="24">
        <v>0</v>
      </c>
      <c r="Q460" s="24">
        <v>0</v>
      </c>
      <c r="R460" s="24">
        <v>0</v>
      </c>
      <c r="S460" s="24">
        <v>0</v>
      </c>
    </row>
    <row r="461" spans="1:19">
      <c r="E461" s="29"/>
      <c r="F461" s="29"/>
      <c r="G461" s="29"/>
      <c r="H461" s="29"/>
      <c r="I461" s="29"/>
      <c r="J461" s="24" t="s">
        <v>4</v>
      </c>
      <c r="K461" s="24" t="s">
        <v>4</v>
      </c>
      <c r="L461" s="24">
        <v>306</v>
      </c>
      <c r="M461" s="24">
        <v>0</v>
      </c>
      <c r="N461" s="24">
        <v>0</v>
      </c>
      <c r="O461" s="24">
        <v>0</v>
      </c>
      <c r="P461" s="24">
        <v>0</v>
      </c>
      <c r="Q461" s="24">
        <v>0</v>
      </c>
      <c r="R461" s="24">
        <v>0</v>
      </c>
      <c r="S461" s="24">
        <v>0</v>
      </c>
    </row>
    <row r="462" spans="1:19">
      <c r="E462" s="29"/>
      <c r="F462" s="29"/>
      <c r="G462" s="29"/>
      <c r="H462" s="29"/>
      <c r="I462" s="29"/>
    </row>
    <row r="463" spans="1:19">
      <c r="A463" s="23" t="s">
        <v>606</v>
      </c>
      <c r="B463" s="53">
        <f>SUBTOTAL(9,B464:B469)</f>
        <v>144342</v>
      </c>
      <c r="C463" s="53">
        <f>SUBTOTAL(9,C464:C469)</f>
        <v>144342</v>
      </c>
      <c r="D463" s="53">
        <f>SUBTOTAL(9,D464:D469)</f>
        <v>144243</v>
      </c>
      <c r="E463" s="53">
        <f>SUBTOTAL(9,E464:E469)</f>
        <v>144243</v>
      </c>
      <c r="F463" s="53">
        <f t="shared" ref="F463:S463" si="142">SUBTOTAL(9,F464:F469)</f>
        <v>156394</v>
      </c>
      <c r="G463" s="53">
        <f t="shared" si="142"/>
        <v>116253</v>
      </c>
      <c r="H463" s="53">
        <f t="shared" si="142"/>
        <v>30062</v>
      </c>
      <c r="I463" s="53">
        <f t="shared" si="142"/>
        <v>25446</v>
      </c>
      <c r="J463" s="53">
        <f t="shared" si="142"/>
        <v>44299</v>
      </c>
      <c r="K463" s="53">
        <f t="shared" si="142"/>
        <v>47258</v>
      </c>
      <c r="L463" s="53">
        <f t="shared" si="142"/>
        <v>230263</v>
      </c>
      <c r="M463" s="53">
        <f t="shared" si="142"/>
        <v>369549</v>
      </c>
      <c r="N463" s="53">
        <f t="shared" si="142"/>
        <v>5163064</v>
      </c>
      <c r="O463" s="53">
        <f t="shared" si="142"/>
        <v>5800393</v>
      </c>
      <c r="P463" s="53">
        <f t="shared" si="142"/>
        <v>6424300</v>
      </c>
      <c r="Q463" s="53">
        <f t="shared" si="142"/>
        <v>9186900</v>
      </c>
      <c r="R463" s="53">
        <f t="shared" si="142"/>
        <v>3704300</v>
      </c>
      <c r="S463" s="53">
        <f t="shared" si="142"/>
        <v>3751500</v>
      </c>
    </row>
    <row r="464" spans="1:19">
      <c r="A464" t="s">
        <v>607</v>
      </c>
      <c r="B464">
        <v>0</v>
      </c>
      <c r="C464">
        <v>0</v>
      </c>
      <c r="D464">
        <v>0</v>
      </c>
      <c r="E464">
        <v>0</v>
      </c>
      <c r="F464">
        <v>12151</v>
      </c>
      <c r="G464" s="29">
        <v>13428</v>
      </c>
      <c r="H464" s="29">
        <v>19114</v>
      </c>
      <c r="I464" s="29">
        <v>25446</v>
      </c>
      <c r="J464" s="24">
        <v>44299</v>
      </c>
      <c r="K464" s="24">
        <v>47258</v>
      </c>
      <c r="L464" s="24">
        <v>230263</v>
      </c>
      <c r="M464" s="24">
        <v>364048</v>
      </c>
      <c r="N464" s="24">
        <v>5149856</v>
      </c>
      <c r="O464" s="24">
        <v>5771549</v>
      </c>
      <c r="P464" s="24">
        <v>6424300</v>
      </c>
      <c r="Q464" s="24">
        <v>9186900</v>
      </c>
      <c r="R464" s="24">
        <v>3704300</v>
      </c>
      <c r="S464" s="24">
        <v>3751500</v>
      </c>
    </row>
    <row r="465" spans="1:19">
      <c r="A465" t="s">
        <v>608</v>
      </c>
      <c r="B465">
        <v>140408</v>
      </c>
      <c r="C465">
        <v>140408</v>
      </c>
      <c r="D465">
        <v>140309</v>
      </c>
      <c r="E465">
        <v>136483</v>
      </c>
      <c r="F465">
        <v>132761</v>
      </c>
      <c r="G465" s="29">
        <v>0</v>
      </c>
      <c r="H465" s="29">
        <v>0</v>
      </c>
      <c r="I465" s="29">
        <v>0</v>
      </c>
    </row>
    <row r="466" spans="1:19">
      <c r="A466" t="s">
        <v>609</v>
      </c>
      <c r="D466">
        <v>0</v>
      </c>
      <c r="E466">
        <v>0</v>
      </c>
      <c r="F466">
        <v>0</v>
      </c>
      <c r="G466" s="29">
        <v>97200</v>
      </c>
      <c r="H466" s="29">
        <v>0</v>
      </c>
      <c r="I466" s="29">
        <v>0</v>
      </c>
      <c r="J466" s="24">
        <v>0</v>
      </c>
      <c r="K466" s="24">
        <v>0</v>
      </c>
      <c r="L466" s="24">
        <v>0</v>
      </c>
      <c r="M466" s="24">
        <v>0</v>
      </c>
      <c r="N466" s="24">
        <v>0</v>
      </c>
      <c r="O466" s="24">
        <v>7928</v>
      </c>
      <c r="P466" s="24">
        <v>0</v>
      </c>
      <c r="Q466" s="24">
        <v>0</v>
      </c>
      <c r="R466" s="24">
        <v>0</v>
      </c>
      <c r="S466" s="24">
        <v>0</v>
      </c>
    </row>
    <row r="467" spans="1:19">
      <c r="A467" t="s">
        <v>610</v>
      </c>
      <c r="D467">
        <v>0</v>
      </c>
      <c r="E467">
        <v>0</v>
      </c>
      <c r="F467">
        <v>0</v>
      </c>
      <c r="G467" s="29">
        <v>0</v>
      </c>
      <c r="H467" s="29">
        <v>10948</v>
      </c>
      <c r="I467" s="29">
        <v>0</v>
      </c>
      <c r="J467" s="24">
        <v>0</v>
      </c>
      <c r="K467" s="24">
        <v>0</v>
      </c>
      <c r="L467" s="24">
        <v>0</v>
      </c>
      <c r="M467" s="24">
        <v>5501</v>
      </c>
      <c r="N467" s="24">
        <v>13208</v>
      </c>
      <c r="O467" s="24">
        <v>20916</v>
      </c>
      <c r="P467" s="24">
        <v>0</v>
      </c>
      <c r="Q467" s="24">
        <v>0</v>
      </c>
      <c r="R467" s="24">
        <v>0</v>
      </c>
      <c r="S467" s="24">
        <v>0</v>
      </c>
    </row>
    <row r="468" spans="1:19">
      <c r="A468" s="24" t="s">
        <v>963</v>
      </c>
      <c r="B468" s="24">
        <v>3934</v>
      </c>
      <c r="C468" s="24">
        <v>3934</v>
      </c>
      <c r="D468">
        <v>3934</v>
      </c>
      <c r="E468">
        <v>7760</v>
      </c>
      <c r="F468">
        <v>11482</v>
      </c>
      <c r="G468" s="29"/>
      <c r="H468" s="29"/>
      <c r="I468" s="29"/>
      <c r="J468" s="24"/>
      <c r="K468" s="24"/>
      <c r="L468" s="24"/>
      <c r="M468" s="24"/>
      <c r="N468" s="24"/>
      <c r="O468" s="24"/>
      <c r="P468" s="24"/>
      <c r="Q468" s="24"/>
      <c r="R468" s="24"/>
      <c r="S468" s="24"/>
    </row>
    <row r="469" spans="1:19">
      <c r="A469" t="s">
        <v>611</v>
      </c>
      <c r="D469">
        <v>0</v>
      </c>
      <c r="E469">
        <v>0</v>
      </c>
      <c r="F469">
        <v>0</v>
      </c>
      <c r="G469" s="29">
        <v>5625</v>
      </c>
      <c r="H469" s="29">
        <v>0</v>
      </c>
      <c r="I469" s="29">
        <v>0</v>
      </c>
    </row>
    <row r="470" spans="1:19">
      <c r="G470" s="29"/>
      <c r="H470" s="29"/>
      <c r="I470" s="29"/>
    </row>
    <row r="471" spans="1:19">
      <c r="A471" s="23" t="s">
        <v>612</v>
      </c>
      <c r="B471" s="53">
        <f t="shared" ref="B471:S471" si="143">SUBTOTAL(9,B472:B473)</f>
        <v>3401503</v>
      </c>
      <c r="C471" s="53">
        <f t="shared" si="143"/>
        <v>3401503</v>
      </c>
      <c r="D471" s="53">
        <f t="shared" si="143"/>
        <v>4669858</v>
      </c>
      <c r="E471" s="53">
        <f>SUBTOTAL(9,E472:E473)</f>
        <v>3602768</v>
      </c>
      <c r="F471" s="53">
        <f t="shared" si="143"/>
        <v>3150514</v>
      </c>
      <c r="G471" s="53">
        <f t="shared" si="143"/>
        <v>3654235</v>
      </c>
      <c r="H471" s="53">
        <f t="shared" si="143"/>
        <v>3857949</v>
      </c>
      <c r="I471" s="53">
        <f t="shared" si="143"/>
        <v>3076681</v>
      </c>
      <c r="J471" s="23">
        <f t="shared" si="143"/>
        <v>3936228</v>
      </c>
      <c r="K471" s="23">
        <f t="shared" si="143"/>
        <v>5356769</v>
      </c>
      <c r="L471" s="23">
        <f t="shared" si="143"/>
        <v>5251426</v>
      </c>
      <c r="M471" s="23">
        <f t="shared" si="143"/>
        <v>6063996</v>
      </c>
      <c r="N471" s="23">
        <f t="shared" si="143"/>
        <v>5078210</v>
      </c>
      <c r="O471" s="23">
        <f t="shared" si="143"/>
        <v>6325334</v>
      </c>
      <c r="P471" s="23">
        <f t="shared" si="143"/>
        <v>5239800</v>
      </c>
      <c r="Q471" s="23">
        <f t="shared" si="143"/>
        <v>0</v>
      </c>
      <c r="R471" s="23">
        <f t="shared" si="143"/>
        <v>1708700</v>
      </c>
      <c r="S471" s="23">
        <f t="shared" si="143"/>
        <v>0</v>
      </c>
    </row>
    <row r="472" spans="1:19">
      <c r="A472" s="24" t="s">
        <v>613</v>
      </c>
      <c r="B472" s="24">
        <v>3163400</v>
      </c>
      <c r="C472" s="24">
        <v>3163400</v>
      </c>
      <c r="D472">
        <v>4387104</v>
      </c>
      <c r="E472">
        <v>3320035</v>
      </c>
      <c r="F472">
        <v>2853530</v>
      </c>
      <c r="G472" s="29">
        <v>3344503</v>
      </c>
      <c r="H472" s="29">
        <v>3474723</v>
      </c>
      <c r="I472" s="29">
        <v>2611955</v>
      </c>
      <c r="J472" s="24">
        <v>3558905</v>
      </c>
      <c r="K472" s="24">
        <v>4952953</v>
      </c>
      <c r="L472" s="24">
        <v>4820652</v>
      </c>
      <c r="M472" s="24">
        <v>5703927</v>
      </c>
      <c r="N472" s="24">
        <v>4692742</v>
      </c>
      <c r="O472" s="24">
        <v>5907920</v>
      </c>
      <c r="P472" s="24">
        <v>5239800</v>
      </c>
      <c r="Q472" s="24">
        <v>0</v>
      </c>
      <c r="R472" s="24">
        <v>1708700</v>
      </c>
      <c r="S472" s="24">
        <v>0</v>
      </c>
    </row>
    <row r="473" spans="1:19">
      <c r="A473" t="s">
        <v>614</v>
      </c>
      <c r="B473">
        <v>238103</v>
      </c>
      <c r="C473">
        <v>238103</v>
      </c>
      <c r="D473">
        <v>282754</v>
      </c>
      <c r="E473">
        <v>282733</v>
      </c>
      <c r="F473">
        <v>296984</v>
      </c>
      <c r="G473" s="29">
        <v>309732</v>
      </c>
      <c r="H473" s="29">
        <v>383226</v>
      </c>
      <c r="I473" s="29">
        <v>464726</v>
      </c>
      <c r="J473" s="24">
        <v>377323</v>
      </c>
      <c r="K473" s="24">
        <v>403816</v>
      </c>
      <c r="L473" s="24">
        <v>430774</v>
      </c>
      <c r="M473" s="24">
        <v>360069</v>
      </c>
      <c r="N473" s="24">
        <v>385468</v>
      </c>
      <c r="O473" s="24">
        <v>417414</v>
      </c>
      <c r="P473" s="24">
        <v>0</v>
      </c>
      <c r="Q473" s="24">
        <v>0</v>
      </c>
      <c r="R473" s="24">
        <v>0</v>
      </c>
      <c r="S473" s="24">
        <v>0</v>
      </c>
    </row>
    <row r="474" spans="1:19">
      <c r="E474" s="29"/>
      <c r="F474" s="29"/>
      <c r="G474" s="29"/>
      <c r="H474" s="29"/>
      <c r="I474" s="29"/>
    </row>
    <row r="475" spans="1:19">
      <c r="A475" s="23" t="s">
        <v>615</v>
      </c>
      <c r="B475" s="53">
        <f t="shared" ref="B475:S475" si="144">SUBTOTAL(9,B476:B477)</f>
        <v>0</v>
      </c>
      <c r="C475" s="53">
        <f t="shared" si="144"/>
        <v>0</v>
      </c>
      <c r="D475" s="53">
        <f t="shared" si="144"/>
        <v>0</v>
      </c>
      <c r="E475" s="53">
        <f>SUBTOTAL(9,E476:E477)</f>
        <v>0</v>
      </c>
      <c r="F475" s="53">
        <f t="shared" si="144"/>
        <v>0</v>
      </c>
      <c r="G475" s="53">
        <f t="shared" si="144"/>
        <v>3066</v>
      </c>
      <c r="H475" s="53">
        <f t="shared" si="144"/>
        <v>0</v>
      </c>
      <c r="I475" s="53">
        <f t="shared" si="144"/>
        <v>0</v>
      </c>
      <c r="J475" s="23">
        <f t="shared" si="144"/>
        <v>852944</v>
      </c>
      <c r="K475" s="23">
        <f t="shared" si="144"/>
        <v>964891</v>
      </c>
      <c r="L475" s="23">
        <f t="shared" si="144"/>
        <v>694005</v>
      </c>
      <c r="M475" s="23">
        <f t="shared" si="144"/>
        <v>726887</v>
      </c>
      <c r="N475" s="23">
        <f t="shared" si="144"/>
        <v>296570</v>
      </c>
      <c r="O475" s="23">
        <f t="shared" si="144"/>
        <v>211986</v>
      </c>
      <c r="P475" s="23">
        <f t="shared" si="144"/>
        <v>0</v>
      </c>
      <c r="Q475" s="23">
        <f t="shared" si="144"/>
        <v>0</v>
      </c>
      <c r="R475" s="23">
        <f t="shared" si="144"/>
        <v>0</v>
      </c>
      <c r="S475" s="23">
        <f t="shared" si="144"/>
        <v>0</v>
      </c>
    </row>
    <row r="476" spans="1:19">
      <c r="A476" s="24" t="s">
        <v>616</v>
      </c>
      <c r="B476" s="24"/>
      <c r="C476" s="24"/>
      <c r="E476" s="29">
        <v>0</v>
      </c>
      <c r="F476" s="29">
        <v>0</v>
      </c>
      <c r="G476" s="29">
        <v>0</v>
      </c>
      <c r="H476" s="29">
        <v>0</v>
      </c>
      <c r="I476" s="29">
        <v>0</v>
      </c>
      <c r="J476" s="24">
        <v>842106</v>
      </c>
      <c r="K476" s="24">
        <v>943619</v>
      </c>
      <c r="L476" s="24">
        <v>693126</v>
      </c>
      <c r="M476" s="24">
        <v>676011</v>
      </c>
      <c r="N476" s="24">
        <v>276104</v>
      </c>
      <c r="O476" s="24">
        <v>211986</v>
      </c>
      <c r="P476" s="24">
        <v>0</v>
      </c>
      <c r="Q476" s="24">
        <v>0</v>
      </c>
      <c r="R476" s="24">
        <v>0</v>
      </c>
      <c r="S476" s="24">
        <v>0</v>
      </c>
    </row>
    <row r="477" spans="1:19">
      <c r="A477" t="s">
        <v>617</v>
      </c>
      <c r="D477">
        <v>0</v>
      </c>
      <c r="E477">
        <v>0</v>
      </c>
      <c r="F477">
        <v>0</v>
      </c>
      <c r="G477" s="29">
        <v>3066</v>
      </c>
      <c r="H477" s="29">
        <v>0</v>
      </c>
      <c r="I477" s="29">
        <v>0</v>
      </c>
      <c r="J477" s="24">
        <v>10838</v>
      </c>
      <c r="K477" s="24">
        <v>21272</v>
      </c>
      <c r="L477" s="24">
        <v>879</v>
      </c>
      <c r="M477" s="24">
        <v>50876</v>
      </c>
      <c r="N477" s="24">
        <v>20466</v>
      </c>
      <c r="O477" s="24">
        <v>0</v>
      </c>
      <c r="P477" s="24">
        <v>0</v>
      </c>
      <c r="Q477" s="24">
        <v>0</v>
      </c>
      <c r="R477" s="24">
        <v>0</v>
      </c>
      <c r="S477" s="24">
        <v>0</v>
      </c>
    </row>
    <row r="478" spans="1:19">
      <c r="A478" s="33"/>
      <c r="B478" s="33"/>
      <c r="C478" s="33"/>
      <c r="D478" s="34"/>
      <c r="E478" s="34"/>
      <c r="F478" s="34"/>
      <c r="G478" s="34"/>
      <c r="H478" s="34"/>
      <c r="I478" s="34"/>
      <c r="J478" s="33"/>
      <c r="K478" s="33"/>
      <c r="L478" s="33"/>
      <c r="M478" s="33"/>
      <c r="N478" s="33"/>
      <c r="O478" s="33"/>
      <c r="P478" s="33"/>
      <c r="Q478" s="33"/>
      <c r="R478" s="33"/>
      <c r="S478" s="33"/>
    </row>
    <row r="479" spans="1:19">
      <c r="A479" s="33"/>
      <c r="B479" s="33"/>
      <c r="C479" s="33"/>
      <c r="D479" s="34"/>
      <c r="E479" s="34"/>
      <c r="F479" s="34"/>
      <c r="G479" s="34"/>
      <c r="H479" s="34"/>
      <c r="I479" s="34"/>
      <c r="J479" s="33"/>
      <c r="K479" s="33"/>
      <c r="L479" s="33"/>
      <c r="M479" s="33"/>
      <c r="N479" s="33"/>
      <c r="O479" s="33"/>
      <c r="P479" s="33"/>
      <c r="Q479" s="33"/>
      <c r="R479" s="33"/>
      <c r="S479" s="33"/>
    </row>
    <row r="480" spans="1:19">
      <c r="A480" s="23" t="s">
        <v>618</v>
      </c>
      <c r="B480" s="53">
        <f t="shared" ref="B480:S480" si="145">SUBTOTAL(9,B482:B500)</f>
        <v>4573127</v>
      </c>
      <c r="C480" s="53">
        <f t="shared" si="145"/>
        <v>4468127</v>
      </c>
      <c r="D480" s="53">
        <f t="shared" si="145"/>
        <v>7292539</v>
      </c>
      <c r="E480" s="53">
        <f>SUBTOTAL(9,E482:E500)</f>
        <v>4468127</v>
      </c>
      <c r="F480" s="53">
        <f t="shared" si="145"/>
        <v>4848016</v>
      </c>
      <c r="G480" s="53">
        <f t="shared" si="145"/>
        <v>5510674</v>
      </c>
      <c r="H480" s="53">
        <f t="shared" si="145"/>
        <v>4488727</v>
      </c>
      <c r="I480" s="53">
        <f t="shared" si="145"/>
        <v>4543558</v>
      </c>
      <c r="J480" s="23">
        <f t="shared" si="145"/>
        <v>3423664</v>
      </c>
      <c r="K480" s="23">
        <f t="shared" si="145"/>
        <v>5509831</v>
      </c>
      <c r="L480" s="23">
        <f t="shared" si="145"/>
        <v>8233184</v>
      </c>
      <c r="M480" s="23">
        <f t="shared" si="145"/>
        <v>6707492</v>
      </c>
      <c r="N480" s="23">
        <f t="shared" si="145"/>
        <v>6701950</v>
      </c>
      <c r="O480" s="23">
        <f t="shared" si="145"/>
        <v>5244899</v>
      </c>
      <c r="P480" s="23">
        <f t="shared" si="145"/>
        <v>3227600</v>
      </c>
      <c r="Q480" s="23">
        <f t="shared" si="145"/>
        <v>1018000</v>
      </c>
      <c r="R480" s="23">
        <f t="shared" si="145"/>
        <v>2466100</v>
      </c>
      <c r="S480" s="23">
        <f t="shared" si="145"/>
        <v>2795600</v>
      </c>
    </row>
    <row r="481" spans="1:19">
      <c r="A481" s="23"/>
      <c r="B481" s="23"/>
      <c r="C481" s="23"/>
      <c r="E481" s="29"/>
      <c r="F481" s="29"/>
      <c r="G481" s="29"/>
      <c r="H481" s="29"/>
      <c r="J481" s="23"/>
      <c r="K481" s="23"/>
      <c r="L481" s="23"/>
      <c r="M481" s="23"/>
      <c r="N481" s="23"/>
      <c r="O481" s="23"/>
      <c r="P481" s="23"/>
      <c r="Q481" s="23"/>
      <c r="R481" s="23"/>
      <c r="S481" s="23"/>
    </row>
    <row r="482" spans="1:19">
      <c r="A482" s="23" t="s">
        <v>619</v>
      </c>
      <c r="B482" s="53">
        <f t="shared" ref="B482:E482" si="146">SUBTOTAL(9,B483:B483)</f>
        <v>0</v>
      </c>
      <c r="C482" s="53">
        <f t="shared" si="146"/>
        <v>0</v>
      </c>
      <c r="D482" s="53">
        <f t="shared" si="146"/>
        <v>0</v>
      </c>
      <c r="E482" s="53">
        <f t="shared" si="146"/>
        <v>0</v>
      </c>
      <c r="F482" s="53">
        <f>SUBTOTAL(9,F483:F483)</f>
        <v>0</v>
      </c>
      <c r="G482" s="53">
        <f t="shared" ref="G482" si="147">SUBTOTAL(9,G483:G483)</f>
        <v>42274</v>
      </c>
      <c r="H482" s="53">
        <f t="shared" ref="H482" si="148">SUBTOTAL(9,H483:H483)</f>
        <v>20298</v>
      </c>
      <c r="I482" s="53">
        <f t="shared" ref="I482" si="149">SUBTOTAL(9,I483:I483)</f>
        <v>79548</v>
      </c>
      <c r="J482" s="23">
        <f t="shared" ref="J482:S482" si="150">SUBTOTAL(9,J483:J483)</f>
        <v>5309</v>
      </c>
      <c r="K482" s="23">
        <f t="shared" si="150"/>
        <v>41047</v>
      </c>
      <c r="L482" s="23">
        <f t="shared" si="150"/>
        <v>531214</v>
      </c>
      <c r="M482" s="23">
        <f t="shared" si="150"/>
        <v>0</v>
      </c>
      <c r="N482" s="23">
        <f t="shared" si="150"/>
        <v>0</v>
      </c>
      <c r="O482" s="23">
        <f t="shared" si="150"/>
        <v>0</v>
      </c>
      <c r="P482" s="23">
        <f t="shared" si="150"/>
        <v>0</v>
      </c>
      <c r="Q482" s="23">
        <f t="shared" si="150"/>
        <v>69600</v>
      </c>
      <c r="R482" s="23">
        <f t="shared" si="150"/>
        <v>0</v>
      </c>
      <c r="S482" s="23">
        <f t="shared" si="150"/>
        <v>0</v>
      </c>
    </row>
    <row r="483" spans="1:19">
      <c r="A483" t="s">
        <v>620</v>
      </c>
      <c r="D483">
        <v>0</v>
      </c>
      <c r="E483">
        <v>0</v>
      </c>
      <c r="F483">
        <v>0</v>
      </c>
      <c r="G483" s="29">
        <v>42274</v>
      </c>
      <c r="H483" s="29">
        <v>20298</v>
      </c>
      <c r="I483" s="29">
        <v>79548</v>
      </c>
      <c r="J483">
        <v>5309</v>
      </c>
      <c r="K483">
        <v>41047</v>
      </c>
      <c r="L483">
        <v>531214</v>
      </c>
      <c r="M483">
        <v>0</v>
      </c>
      <c r="N483">
        <v>0</v>
      </c>
      <c r="O483">
        <v>0</v>
      </c>
      <c r="P483">
        <v>0</v>
      </c>
      <c r="Q483">
        <v>69600</v>
      </c>
      <c r="R483">
        <v>0</v>
      </c>
      <c r="S483">
        <v>0</v>
      </c>
    </row>
    <row r="484" spans="1:19">
      <c r="E484" s="29"/>
      <c r="F484" s="29"/>
      <c r="G484" s="29"/>
      <c r="H484" s="29"/>
      <c r="I484" s="29"/>
    </row>
    <row r="485" spans="1:19">
      <c r="A485" s="23" t="s">
        <v>621</v>
      </c>
      <c r="B485" s="53">
        <f t="shared" ref="B485:S485" si="151">SUBTOTAL(9,B486:B488)</f>
        <v>0</v>
      </c>
      <c r="C485" s="53">
        <f t="shared" si="151"/>
        <v>0</v>
      </c>
      <c r="D485" s="53">
        <f t="shared" si="151"/>
        <v>0</v>
      </c>
      <c r="E485" s="53">
        <f>SUBTOTAL(9,E486:E488)</f>
        <v>0</v>
      </c>
      <c r="F485" s="53">
        <f t="shared" si="151"/>
        <v>0</v>
      </c>
      <c r="G485" s="53">
        <f t="shared" si="151"/>
        <v>0</v>
      </c>
      <c r="H485" s="53">
        <f t="shared" si="151"/>
        <v>0</v>
      </c>
      <c r="I485" s="53">
        <f t="shared" si="151"/>
        <v>0</v>
      </c>
      <c r="J485" s="23">
        <f t="shared" si="151"/>
        <v>0</v>
      </c>
      <c r="K485" s="23">
        <f t="shared" si="151"/>
        <v>0</v>
      </c>
      <c r="L485" s="23">
        <f t="shared" si="151"/>
        <v>0</v>
      </c>
      <c r="M485" s="23">
        <f t="shared" si="151"/>
        <v>0</v>
      </c>
      <c r="N485" s="23">
        <f t="shared" si="151"/>
        <v>0</v>
      </c>
      <c r="O485" s="23">
        <f t="shared" si="151"/>
        <v>544000</v>
      </c>
      <c r="P485" s="23">
        <f t="shared" si="151"/>
        <v>544000</v>
      </c>
      <c r="Q485" s="23">
        <f t="shared" si="151"/>
        <v>609100</v>
      </c>
      <c r="R485" s="23">
        <f t="shared" si="151"/>
        <v>541500</v>
      </c>
      <c r="S485" s="23">
        <f t="shared" si="151"/>
        <v>333300</v>
      </c>
    </row>
    <row r="486" spans="1:19">
      <c r="A486" t="s">
        <v>622</v>
      </c>
      <c r="E486" s="29">
        <v>0</v>
      </c>
      <c r="F486" s="29">
        <v>0</v>
      </c>
      <c r="G486" s="29">
        <v>0</v>
      </c>
      <c r="H486" s="29">
        <v>0</v>
      </c>
      <c r="I486" s="29">
        <v>0</v>
      </c>
      <c r="J486">
        <v>0</v>
      </c>
      <c r="K486">
        <v>0</v>
      </c>
      <c r="L486">
        <v>0</v>
      </c>
      <c r="M486">
        <v>0</v>
      </c>
      <c r="N486">
        <v>0</v>
      </c>
      <c r="O486">
        <v>544000</v>
      </c>
      <c r="P486">
        <v>544000</v>
      </c>
      <c r="Q486">
        <v>609100</v>
      </c>
      <c r="R486">
        <v>541500</v>
      </c>
      <c r="S486">
        <v>333300</v>
      </c>
    </row>
    <row r="487" spans="1:19">
      <c r="A487" t="s">
        <v>623</v>
      </c>
      <c r="E487" s="29">
        <v>0</v>
      </c>
      <c r="F487" s="29">
        <v>0</v>
      </c>
      <c r="G487" s="29">
        <v>0</v>
      </c>
      <c r="H487" s="29">
        <v>0</v>
      </c>
      <c r="I487" s="29">
        <v>0</v>
      </c>
    </row>
    <row r="488" spans="1:19">
      <c r="A488" t="s">
        <v>624</v>
      </c>
      <c r="E488" s="29">
        <v>0</v>
      </c>
      <c r="F488" s="29">
        <v>0</v>
      </c>
      <c r="G488" s="29">
        <v>0</v>
      </c>
      <c r="H488" s="29">
        <v>0</v>
      </c>
      <c r="I488" s="29">
        <v>0</v>
      </c>
    </row>
    <row r="489" spans="1:19">
      <c r="E489" s="29"/>
      <c r="F489" s="29"/>
      <c r="G489" s="29"/>
      <c r="H489" s="29"/>
      <c r="I489" s="29"/>
    </row>
    <row r="490" spans="1:19">
      <c r="A490" s="23" t="s">
        <v>625</v>
      </c>
      <c r="B490" s="53">
        <f t="shared" ref="B490:D490" si="152">SUBTOTAL(9,B491:B491)</f>
        <v>0</v>
      </c>
      <c r="C490" s="53">
        <f t="shared" si="152"/>
        <v>0</v>
      </c>
      <c r="D490" s="53">
        <f t="shared" si="152"/>
        <v>0</v>
      </c>
      <c r="E490" s="53">
        <f>SUBTOTAL(9,E491:E491)</f>
        <v>0</v>
      </c>
      <c r="F490" s="53">
        <f>SUBTOTAL(9,F491:F491)</f>
        <v>0</v>
      </c>
      <c r="G490" s="53">
        <f t="shared" ref="G490" si="153">SUBTOTAL(9,G491:G491)</f>
        <v>49</v>
      </c>
      <c r="H490" s="53">
        <f t="shared" ref="H490" si="154">SUBTOTAL(9,H491:H491)</f>
        <v>0</v>
      </c>
      <c r="I490" s="53">
        <f t="shared" ref="I490" si="155">SUBTOTAL(9,I491:I491)</f>
        <v>0</v>
      </c>
      <c r="J490" s="53">
        <f t="shared" ref="J490:S490" si="156">SUBTOTAL(9,J491:J491)</f>
        <v>0</v>
      </c>
      <c r="K490" s="53">
        <f t="shared" si="156"/>
        <v>0</v>
      </c>
      <c r="L490" s="53">
        <f t="shared" si="156"/>
        <v>0</v>
      </c>
      <c r="M490" s="53">
        <f t="shared" si="156"/>
        <v>0</v>
      </c>
      <c r="N490" s="53">
        <f t="shared" si="156"/>
        <v>0</v>
      </c>
      <c r="O490" s="53">
        <f t="shared" si="156"/>
        <v>0</v>
      </c>
      <c r="P490" s="53">
        <f t="shared" si="156"/>
        <v>0</v>
      </c>
      <c r="Q490" s="53">
        <f t="shared" si="156"/>
        <v>0</v>
      </c>
      <c r="R490" s="53">
        <f t="shared" si="156"/>
        <v>0</v>
      </c>
      <c r="S490" s="53">
        <f t="shared" si="156"/>
        <v>0</v>
      </c>
    </row>
    <row r="491" spans="1:19">
      <c r="A491" t="s">
        <v>626</v>
      </c>
      <c r="E491" s="29">
        <v>0</v>
      </c>
      <c r="F491" s="29">
        <v>0</v>
      </c>
      <c r="G491" s="29">
        <v>49</v>
      </c>
      <c r="H491" s="29">
        <v>0</v>
      </c>
      <c r="I491" s="29">
        <v>0</v>
      </c>
    </row>
    <row r="492" spans="1:19">
      <c r="E492" s="29"/>
      <c r="F492" s="29"/>
      <c r="G492" s="29"/>
      <c r="H492" s="29"/>
      <c r="I492" s="29"/>
    </row>
    <row r="493" spans="1:19">
      <c r="A493" s="23" t="s">
        <v>995</v>
      </c>
      <c r="B493">
        <f>SUBTOTAL(9,B494:B494)</f>
        <v>105000</v>
      </c>
      <c r="C493">
        <f>SUBTOTAL(9,C494:C494)</f>
        <v>0</v>
      </c>
      <c r="D493" s="23">
        <f>SUBTOTAL(9,D494:D494)</f>
        <v>2824412</v>
      </c>
      <c r="E493" s="23">
        <f>SUBTOTAL(9,E494:E494)</f>
        <v>0</v>
      </c>
      <c r="F493" s="23">
        <f>SUBTOTAL(9,F494:F494)</f>
        <v>0</v>
      </c>
      <c r="G493" s="29"/>
      <c r="H493" s="29"/>
      <c r="I493" s="29"/>
    </row>
    <row r="494" spans="1:19">
      <c r="A494" s="24" t="s">
        <v>994</v>
      </c>
      <c r="B494">
        <v>105000</v>
      </c>
      <c r="C494">
        <v>0</v>
      </c>
      <c r="D494">
        <v>2824412</v>
      </c>
      <c r="E494" s="29">
        <v>0</v>
      </c>
      <c r="F494" s="29">
        <v>0</v>
      </c>
      <c r="G494" s="29"/>
      <c r="H494" s="29"/>
      <c r="I494" s="29"/>
    </row>
    <row r="495" spans="1:19">
      <c r="E495" s="29"/>
      <c r="F495" s="29"/>
      <c r="G495" s="29"/>
      <c r="H495" s="29"/>
    </row>
    <row r="496" spans="1:19">
      <c r="A496" s="23" t="s">
        <v>627</v>
      </c>
      <c r="B496" s="53">
        <f t="shared" ref="B496:S496" si="157">SUBTOTAL(9,B497:B500)</f>
        <v>4468127</v>
      </c>
      <c r="C496" s="53">
        <f t="shared" si="157"/>
        <v>4468127</v>
      </c>
      <c r="D496" s="53">
        <f t="shared" si="157"/>
        <v>4468127</v>
      </c>
      <c r="E496" s="53">
        <f>SUBTOTAL(9,E497:E500)</f>
        <v>4468127</v>
      </c>
      <c r="F496" s="53">
        <f t="shared" si="157"/>
        <v>4848016</v>
      </c>
      <c r="G496" s="53">
        <f t="shared" si="157"/>
        <v>5468351</v>
      </c>
      <c r="H496" s="53">
        <f t="shared" si="157"/>
        <v>4468429</v>
      </c>
      <c r="I496" s="53">
        <f t="shared" si="157"/>
        <v>4464010</v>
      </c>
      <c r="J496" s="23">
        <f t="shared" si="157"/>
        <v>3418355</v>
      </c>
      <c r="K496" s="23">
        <f t="shared" si="157"/>
        <v>5468784</v>
      </c>
      <c r="L496" s="23">
        <f t="shared" si="157"/>
        <v>7701970</v>
      </c>
      <c r="M496" s="23">
        <f t="shared" si="157"/>
        <v>6707492</v>
      </c>
      <c r="N496" s="23">
        <f t="shared" si="157"/>
        <v>6701950</v>
      </c>
      <c r="O496" s="23">
        <f t="shared" si="157"/>
        <v>4700899</v>
      </c>
      <c r="P496" s="23">
        <f t="shared" si="157"/>
        <v>2683600</v>
      </c>
      <c r="Q496" s="23">
        <f t="shared" si="157"/>
        <v>339300</v>
      </c>
      <c r="R496" s="23">
        <f t="shared" si="157"/>
        <v>1924600</v>
      </c>
      <c r="S496" s="23">
        <f t="shared" si="157"/>
        <v>2462300</v>
      </c>
    </row>
    <row r="497" spans="1:19">
      <c r="A497" t="s">
        <v>628</v>
      </c>
      <c r="B497">
        <v>0</v>
      </c>
      <c r="C497">
        <v>0</v>
      </c>
      <c r="D497">
        <v>0</v>
      </c>
      <c r="E497">
        <v>0</v>
      </c>
      <c r="F497">
        <v>4889</v>
      </c>
      <c r="G497" s="29">
        <v>224</v>
      </c>
      <c r="H497" s="29">
        <v>302</v>
      </c>
      <c r="I497" s="29">
        <v>328</v>
      </c>
      <c r="J497">
        <v>228</v>
      </c>
      <c r="K497">
        <v>657</v>
      </c>
      <c r="L497">
        <v>1970</v>
      </c>
      <c r="M497">
        <v>7492</v>
      </c>
      <c r="N497">
        <v>1950</v>
      </c>
      <c r="O497">
        <v>899</v>
      </c>
      <c r="P497">
        <v>0</v>
      </c>
      <c r="Q497">
        <v>0</v>
      </c>
      <c r="R497">
        <v>0</v>
      </c>
      <c r="S497">
        <v>0</v>
      </c>
    </row>
    <row r="498" spans="1:19">
      <c r="A498" t="s">
        <v>629</v>
      </c>
      <c r="D498">
        <v>0</v>
      </c>
      <c r="E498">
        <v>0</v>
      </c>
      <c r="F498">
        <v>0</v>
      </c>
      <c r="G498" s="29">
        <v>4468127</v>
      </c>
      <c r="H498" s="29">
        <v>4468127</v>
      </c>
      <c r="I498" s="29">
        <v>4463682</v>
      </c>
      <c r="J498">
        <v>3418127</v>
      </c>
      <c r="K498">
        <v>5468127</v>
      </c>
      <c r="L498">
        <v>7700000</v>
      </c>
      <c r="M498">
        <v>6700000</v>
      </c>
      <c r="N498">
        <v>6700000</v>
      </c>
      <c r="O498">
        <v>4700000</v>
      </c>
      <c r="P498">
        <v>2683600</v>
      </c>
      <c r="Q498">
        <v>339300</v>
      </c>
      <c r="R498">
        <v>1924600</v>
      </c>
      <c r="S498">
        <v>2462300</v>
      </c>
    </row>
    <row r="499" spans="1:19">
      <c r="A499" s="24" t="s">
        <v>964</v>
      </c>
      <c r="B499" s="24">
        <v>4468127</v>
      </c>
      <c r="C499" s="24">
        <v>4468127</v>
      </c>
      <c r="D499">
        <v>4468127</v>
      </c>
      <c r="E499">
        <v>4468127</v>
      </c>
      <c r="F499">
        <v>4468127</v>
      </c>
      <c r="G499" s="29"/>
      <c r="H499" s="29"/>
      <c r="I499" s="29"/>
    </row>
    <row r="500" spans="1:19">
      <c r="A500" t="s">
        <v>630</v>
      </c>
      <c r="B500">
        <v>0</v>
      </c>
      <c r="C500">
        <v>0</v>
      </c>
      <c r="D500">
        <v>0</v>
      </c>
      <c r="E500">
        <v>0</v>
      </c>
      <c r="F500">
        <v>375000</v>
      </c>
      <c r="G500" s="29">
        <v>1000000</v>
      </c>
      <c r="H500" s="29">
        <v>0</v>
      </c>
      <c r="I500" s="29">
        <v>0</v>
      </c>
    </row>
    <row r="501" spans="1:19">
      <c r="A501" s="33"/>
      <c r="B501" s="33"/>
      <c r="C501" s="33"/>
      <c r="D501" s="34"/>
      <c r="E501" s="34"/>
      <c r="F501" s="34"/>
      <c r="G501" s="34"/>
      <c r="H501" s="34"/>
      <c r="I501" s="34"/>
      <c r="J501" s="33"/>
      <c r="K501" s="33"/>
      <c r="L501" s="33"/>
      <c r="M501" s="33"/>
      <c r="N501" s="33"/>
      <c r="O501" s="33"/>
      <c r="P501" s="33"/>
      <c r="Q501" s="33"/>
      <c r="R501" s="33"/>
      <c r="S501" s="33"/>
    </row>
    <row r="502" spans="1:19">
      <c r="A502" s="33"/>
      <c r="B502" s="33"/>
      <c r="C502" s="33"/>
      <c r="D502" s="34"/>
      <c r="E502" s="34"/>
      <c r="F502" s="34"/>
      <c r="G502" s="34"/>
      <c r="H502" s="34"/>
      <c r="I502" s="34"/>
      <c r="J502" s="33"/>
      <c r="K502" s="33"/>
      <c r="L502" s="33"/>
      <c r="M502" s="33"/>
      <c r="N502" s="33"/>
      <c r="O502" s="33"/>
      <c r="P502" s="33"/>
      <c r="Q502" s="33"/>
      <c r="R502" s="33"/>
      <c r="S502" s="33"/>
    </row>
    <row r="503" spans="1:19">
      <c r="A503" s="23" t="s">
        <v>631</v>
      </c>
      <c r="B503" s="53">
        <f t="shared" ref="B503:I503" si="158">SUBTOTAL(9,B505:B510)</f>
        <v>28988208</v>
      </c>
      <c r="C503" s="53">
        <f t="shared" si="158"/>
        <v>28936335</v>
      </c>
      <c r="D503" s="53">
        <f t="shared" si="158"/>
        <v>33634686</v>
      </c>
      <c r="E503" s="53">
        <f>SUBTOTAL(9,E505:E510)</f>
        <v>40650621</v>
      </c>
      <c r="F503" s="53">
        <f t="shared" si="158"/>
        <v>34169435</v>
      </c>
      <c r="G503" s="53">
        <f t="shared" si="158"/>
        <v>25979891</v>
      </c>
      <c r="H503" s="53">
        <f t="shared" si="158"/>
        <v>28457582</v>
      </c>
      <c r="I503" s="53">
        <f t="shared" si="158"/>
        <v>34220683</v>
      </c>
      <c r="J503" s="23">
        <f t="shared" ref="J503:S503" si="159">SUBTOTAL(9,J504:J510)</f>
        <v>38302736</v>
      </c>
      <c r="K503" s="23">
        <f t="shared" si="159"/>
        <v>42773607</v>
      </c>
      <c r="L503" s="23">
        <f t="shared" si="159"/>
        <v>47580675</v>
      </c>
      <c r="M503" s="23">
        <f t="shared" si="159"/>
        <v>40950745</v>
      </c>
      <c r="N503" s="23">
        <f t="shared" si="159"/>
        <v>30777747</v>
      </c>
      <c r="O503" s="23">
        <f t="shared" si="159"/>
        <v>31764210</v>
      </c>
      <c r="P503" s="23">
        <f t="shared" si="159"/>
        <v>29153400</v>
      </c>
      <c r="Q503" s="23">
        <f t="shared" si="159"/>
        <v>26101900</v>
      </c>
      <c r="R503" s="23">
        <f t="shared" si="159"/>
        <v>22364600</v>
      </c>
      <c r="S503" s="23">
        <f t="shared" si="159"/>
        <v>21399500</v>
      </c>
    </row>
    <row r="504" spans="1:19">
      <c r="A504" s="23"/>
      <c r="B504" s="23"/>
      <c r="C504" s="23"/>
      <c r="E504" s="29"/>
      <c r="F504" s="29"/>
      <c r="G504" s="29"/>
      <c r="H504" s="29"/>
      <c r="I504" s="29"/>
      <c r="J504" s="24">
        <v>0</v>
      </c>
      <c r="K504" s="24">
        <v>0</v>
      </c>
      <c r="L504" s="24">
        <v>0</v>
      </c>
      <c r="M504" s="24">
        <v>0</v>
      </c>
      <c r="N504" s="24">
        <v>366245</v>
      </c>
      <c r="O504" s="24">
        <v>340161</v>
      </c>
      <c r="P504" s="24">
        <v>293200</v>
      </c>
      <c r="Q504" s="24">
        <v>268900</v>
      </c>
      <c r="R504" s="24">
        <v>254100</v>
      </c>
      <c r="S504" s="24">
        <v>221600</v>
      </c>
    </row>
    <row r="505" spans="1:19">
      <c r="A505" t="s">
        <v>632</v>
      </c>
      <c r="B505">
        <v>3466725</v>
      </c>
      <c r="C505">
        <v>3468575</v>
      </c>
      <c r="D505">
        <v>3143814</v>
      </c>
      <c r="E505">
        <v>3776923</v>
      </c>
      <c r="F505">
        <v>3776323</v>
      </c>
      <c r="G505" s="29">
        <v>3773523</v>
      </c>
      <c r="H505" s="29">
        <v>3773723</v>
      </c>
      <c r="I505" s="29">
        <v>3775323</v>
      </c>
      <c r="J505" s="24">
        <v>3775873</v>
      </c>
      <c r="K505" s="24">
        <v>3775373</v>
      </c>
      <c r="L505" s="24">
        <v>3773823</v>
      </c>
      <c r="M505" s="24">
        <v>1958711</v>
      </c>
      <c r="N505" s="24">
        <v>0</v>
      </c>
      <c r="O505" s="24">
        <v>0</v>
      </c>
      <c r="P505" s="24">
        <v>0</v>
      </c>
      <c r="Q505" s="24">
        <v>0</v>
      </c>
      <c r="R505" s="24">
        <v>833900</v>
      </c>
      <c r="S505" s="24">
        <v>3710000</v>
      </c>
    </row>
    <row r="506" spans="1:19">
      <c r="A506" t="s">
        <v>633</v>
      </c>
      <c r="B506">
        <v>0</v>
      </c>
      <c r="C506">
        <v>397756</v>
      </c>
      <c r="D506">
        <v>369898</v>
      </c>
      <c r="E506">
        <v>2388992</v>
      </c>
      <c r="F506">
        <v>717090</v>
      </c>
      <c r="G506" s="29">
        <v>649681</v>
      </c>
      <c r="H506" s="29">
        <v>3097119</v>
      </c>
      <c r="I506" s="29">
        <v>1828202</v>
      </c>
      <c r="J506" s="24">
        <v>1632989</v>
      </c>
      <c r="K506" s="24">
        <v>2880000</v>
      </c>
      <c r="L506" s="24">
        <v>3195057</v>
      </c>
      <c r="M506" s="24">
        <v>3391022</v>
      </c>
      <c r="N506" s="24">
        <v>3258000</v>
      </c>
      <c r="O506" s="24">
        <v>3422014</v>
      </c>
      <c r="P506" s="24">
        <v>4871200</v>
      </c>
      <c r="Q506" s="24">
        <v>3456600</v>
      </c>
      <c r="R506" s="24">
        <v>2909700</v>
      </c>
      <c r="S506" s="24">
        <v>1076300</v>
      </c>
    </row>
    <row r="507" spans="1:19">
      <c r="A507" t="s">
        <v>634</v>
      </c>
      <c r="B507">
        <v>7049030</v>
      </c>
      <c r="C507">
        <v>7049030</v>
      </c>
      <c r="D507">
        <v>12100000</v>
      </c>
      <c r="E507">
        <v>12707714</v>
      </c>
      <c r="F507">
        <v>6899030</v>
      </c>
      <c r="G507" s="29">
        <v>6788978</v>
      </c>
      <c r="H507" s="29">
        <v>6819031</v>
      </c>
      <c r="I507" s="29">
        <v>6855875</v>
      </c>
      <c r="J507" s="24">
        <v>9352237</v>
      </c>
      <c r="K507" s="24">
        <v>9896868</v>
      </c>
      <c r="L507" s="24">
        <v>11140501</v>
      </c>
      <c r="M507" s="24">
        <v>11763175</v>
      </c>
      <c r="N507" s="24">
        <v>10154549</v>
      </c>
      <c r="O507" s="24">
        <v>7730374</v>
      </c>
      <c r="P507" s="24">
        <v>8301000</v>
      </c>
      <c r="Q507" s="24">
        <v>9893800</v>
      </c>
      <c r="R507" s="24">
        <v>6270200</v>
      </c>
      <c r="S507" s="24">
        <v>6247500</v>
      </c>
    </row>
    <row r="508" spans="1:19">
      <c r="A508" t="s">
        <v>635</v>
      </c>
      <c r="B508">
        <v>9481055</v>
      </c>
      <c r="C508">
        <v>9029576</v>
      </c>
      <c r="D508">
        <v>9029576</v>
      </c>
      <c r="E508">
        <v>8865952</v>
      </c>
      <c r="F508">
        <v>8865952</v>
      </c>
      <c r="G508" s="29">
        <v>8865952</v>
      </c>
      <c r="H508" s="29">
        <v>8865952</v>
      </c>
      <c r="I508" s="29">
        <v>8865954</v>
      </c>
      <c r="J508" s="24">
        <v>8759034</v>
      </c>
      <c r="K508" s="24">
        <v>8874218</v>
      </c>
      <c r="L508" s="24">
        <v>10101847</v>
      </c>
      <c r="M508" s="24">
        <v>7168998</v>
      </c>
      <c r="N508" s="24">
        <v>5220768</v>
      </c>
      <c r="O508" s="24">
        <v>5055379</v>
      </c>
      <c r="P508" s="24">
        <v>425500</v>
      </c>
      <c r="Q508" s="24">
        <v>0</v>
      </c>
      <c r="R508" s="24">
        <v>16800</v>
      </c>
      <c r="S508" s="24">
        <v>0</v>
      </c>
    </row>
    <row r="509" spans="1:19">
      <c r="A509" t="s">
        <v>636</v>
      </c>
      <c r="B509">
        <v>8756398</v>
      </c>
      <c r="C509">
        <v>8756398</v>
      </c>
      <c r="D509">
        <v>8756398</v>
      </c>
      <c r="E509">
        <v>12511040</v>
      </c>
      <c r="F509">
        <v>12511040</v>
      </c>
      <c r="G509" s="29">
        <v>5501757</v>
      </c>
      <c r="H509" s="29">
        <v>5501757</v>
      </c>
      <c r="I509" s="29">
        <v>11936493</v>
      </c>
      <c r="J509" s="24">
        <v>13086936</v>
      </c>
      <c r="K509" s="24">
        <v>15651481</v>
      </c>
      <c r="L509" s="24">
        <v>17695230</v>
      </c>
      <c r="M509" s="24">
        <v>14968708</v>
      </c>
      <c r="N509" s="24">
        <v>10578055</v>
      </c>
      <c r="O509" s="24">
        <v>14016151</v>
      </c>
      <c r="P509" s="24">
        <v>13262400</v>
      </c>
      <c r="Q509" s="24">
        <v>11382500</v>
      </c>
      <c r="R509" s="24">
        <v>8396700</v>
      </c>
      <c r="S509" s="24">
        <v>9131200</v>
      </c>
    </row>
    <row r="510" spans="1:19">
      <c r="A510" t="s">
        <v>637</v>
      </c>
      <c r="B510">
        <v>235000</v>
      </c>
      <c r="C510">
        <v>235000</v>
      </c>
      <c r="D510">
        <v>235000</v>
      </c>
      <c r="E510">
        <v>400000</v>
      </c>
      <c r="F510">
        <v>1400000</v>
      </c>
      <c r="G510" s="29">
        <v>400000</v>
      </c>
      <c r="H510" s="29">
        <v>400000</v>
      </c>
      <c r="I510" s="29">
        <v>958836</v>
      </c>
      <c r="J510" s="24">
        <v>1695667</v>
      </c>
      <c r="K510" s="24">
        <v>1695667</v>
      </c>
      <c r="L510" s="24">
        <v>1674217</v>
      </c>
      <c r="M510" s="24">
        <v>1700131</v>
      </c>
      <c r="N510" s="24">
        <v>1200130</v>
      </c>
      <c r="O510" s="24">
        <v>1200131</v>
      </c>
      <c r="P510" s="24">
        <v>2000100</v>
      </c>
      <c r="Q510" s="24">
        <v>1100100</v>
      </c>
      <c r="R510" s="24">
        <v>3683200</v>
      </c>
      <c r="S510" s="24">
        <v>1012900</v>
      </c>
    </row>
    <row r="512" spans="1:19">
      <c r="A512" s="23" t="s">
        <v>12</v>
      </c>
      <c r="B512" s="36">
        <f t="shared" ref="B512:S512" si="160">SUBTOTAL(9,B8:B510)</f>
        <v>2673059142</v>
      </c>
      <c r="C512" s="36">
        <f t="shared" si="160"/>
        <v>2551616061</v>
      </c>
      <c r="D512" s="36">
        <f t="shared" si="160"/>
        <v>2466283172</v>
      </c>
      <c r="E512" s="36">
        <f t="shared" si="160"/>
        <v>2440225961</v>
      </c>
      <c r="F512" s="36">
        <f t="shared" si="160"/>
        <v>2385624626</v>
      </c>
      <c r="G512" s="36">
        <f t="shared" si="160"/>
        <v>2214362709</v>
      </c>
      <c r="H512" s="36">
        <f t="shared" si="160"/>
        <v>2122771183</v>
      </c>
      <c r="I512" s="36">
        <f t="shared" si="160"/>
        <v>2096962301</v>
      </c>
      <c r="J512" s="36">
        <f t="shared" si="160"/>
        <v>2176658357</v>
      </c>
      <c r="K512" s="36">
        <f t="shared" si="160"/>
        <v>2144142325</v>
      </c>
      <c r="L512" s="36">
        <f t="shared" si="160"/>
        <v>2038808801</v>
      </c>
      <c r="M512" s="36">
        <f t="shared" si="160"/>
        <v>1910433818</v>
      </c>
      <c r="N512" s="36">
        <f t="shared" si="160"/>
        <v>1767440448</v>
      </c>
      <c r="O512" s="36">
        <f t="shared" si="160"/>
        <v>1630701399</v>
      </c>
      <c r="P512" s="36">
        <f t="shared" si="160"/>
        <v>1575963300</v>
      </c>
      <c r="Q512" s="36">
        <f t="shared" si="160"/>
        <v>1444485900</v>
      </c>
      <c r="R512" s="36">
        <f t="shared" si="160"/>
        <v>1376308900</v>
      </c>
      <c r="S512" s="36">
        <f t="shared" si="160"/>
        <v>1271678100</v>
      </c>
    </row>
    <row r="513" spans="19:19">
      <c r="S513" s="47"/>
    </row>
    <row r="514" spans="19:19">
      <c r="S514" s="47"/>
    </row>
    <row r="515" spans="19:19">
      <c r="S515" s="47"/>
    </row>
  </sheetData>
  <hyperlinks>
    <hyperlink ref="A3"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sheetPr codeName="Sheet30"/>
  <dimension ref="A1:T145"/>
  <sheetViews>
    <sheetView workbookViewId="0">
      <pane xSplit="2" ySplit="6" topLeftCell="C7" activePane="bottomRight" state="frozen"/>
      <selection pane="topRight" activeCell="C1" sqref="C1"/>
      <selection pane="bottomLeft" activeCell="A6" sqref="A6"/>
      <selection pane="bottomRight" activeCell="A2" sqref="A2"/>
    </sheetView>
  </sheetViews>
  <sheetFormatPr defaultRowHeight="12.75"/>
  <cols>
    <col min="1" max="1" width="4" bestFit="1" customWidth="1"/>
    <col min="2" max="2" width="35.140625" customWidth="1"/>
    <col min="3" max="14" width="14" customWidth="1"/>
    <col min="15" max="19" width="14" bestFit="1" customWidth="1"/>
    <col min="20" max="20" width="14" customWidth="1"/>
  </cols>
  <sheetData>
    <row r="1" spans="1:20">
      <c r="A1" t="s">
        <v>1114</v>
      </c>
    </row>
    <row r="2" spans="1:20">
      <c r="B2" s="44" t="s">
        <v>1034</v>
      </c>
      <c r="E2" s="47"/>
      <c r="F2" s="47"/>
      <c r="G2" s="47"/>
      <c r="H2" s="47"/>
      <c r="I2" s="47"/>
      <c r="K2" s="43"/>
      <c r="L2" s="43"/>
      <c r="M2" s="43"/>
    </row>
    <row r="3" spans="1:20">
      <c r="B3" s="24" t="s">
        <v>1035</v>
      </c>
      <c r="C3" s="52"/>
      <c r="D3" s="52"/>
      <c r="E3" s="47"/>
      <c r="F3" s="47"/>
      <c r="G3" s="47"/>
      <c r="H3" s="47">
        <f>E4/Q4</f>
        <v>1.3339711807065215</v>
      </c>
      <c r="I3" s="48">
        <f>H3^(1/12)-1</f>
        <v>2.4304004514445587E-2</v>
      </c>
      <c r="J3" s="47"/>
      <c r="K3" s="24"/>
      <c r="L3" s="24"/>
      <c r="M3" s="57"/>
      <c r="N3" s="58"/>
      <c r="O3" s="57"/>
      <c r="P3" s="24"/>
      <c r="Q3" s="57"/>
      <c r="R3" s="57"/>
      <c r="S3" s="57"/>
      <c r="T3" s="24"/>
    </row>
    <row r="4" spans="1:20">
      <c r="B4" s="24" t="s">
        <v>954</v>
      </c>
      <c r="C4" s="73">
        <f>D4*1.0165</f>
        <v>253.61739421157625</v>
      </c>
      <c r="D4" s="73">
        <f>E4*1.0165</f>
        <v>249.50063375462494</v>
      </c>
      <c r="E4" s="73">
        <f>F4*1.0165</f>
        <v>245.45069724999996</v>
      </c>
      <c r="F4" s="73">
        <f>G4*1.021</f>
        <v>241.46649999999997</v>
      </c>
      <c r="G4" s="73">
        <v>236.5</v>
      </c>
      <c r="H4" s="73">
        <v>229.6</v>
      </c>
      <c r="I4" s="73">
        <v>224.9</v>
      </c>
      <c r="J4" s="73">
        <v>218.1</v>
      </c>
      <c r="K4" s="126">
        <v>214.5</v>
      </c>
      <c r="L4" s="126">
        <v>215.3</v>
      </c>
      <c r="M4" s="126">
        <v>207.3</v>
      </c>
      <c r="N4" s="126">
        <v>201.6</v>
      </c>
      <c r="O4" s="126">
        <v>195.3</v>
      </c>
      <c r="P4" s="126">
        <v>188.9</v>
      </c>
      <c r="Q4" s="126">
        <v>184</v>
      </c>
      <c r="R4" s="126">
        <v>179.9</v>
      </c>
      <c r="S4" s="126">
        <v>177.1</v>
      </c>
      <c r="T4" s="126">
        <v>172.2</v>
      </c>
    </row>
    <row r="5" spans="1:20">
      <c r="B5" s="24" t="s">
        <v>665</v>
      </c>
      <c r="C5" s="24">
        <v>2017</v>
      </c>
      <c r="D5" s="24">
        <v>2016</v>
      </c>
      <c r="E5" s="125">
        <v>2015</v>
      </c>
      <c r="F5" s="55">
        <v>2014</v>
      </c>
      <c r="G5" s="55">
        <v>2013</v>
      </c>
      <c r="H5" s="55">
        <v>2012</v>
      </c>
      <c r="I5" s="55">
        <v>2011</v>
      </c>
      <c r="J5" s="55">
        <v>2010</v>
      </c>
      <c r="K5" s="55">
        <v>2009</v>
      </c>
      <c r="L5" s="55">
        <v>2008</v>
      </c>
      <c r="M5" s="55">
        <v>2007</v>
      </c>
      <c r="N5" s="55">
        <v>2006</v>
      </c>
      <c r="O5" s="55">
        <v>2005</v>
      </c>
      <c r="P5" s="55">
        <v>2004</v>
      </c>
      <c r="Q5" s="55">
        <v>2003</v>
      </c>
      <c r="R5" s="55">
        <v>2002</v>
      </c>
      <c r="S5" s="55">
        <v>2001</v>
      </c>
      <c r="T5" s="55">
        <v>2000</v>
      </c>
    </row>
    <row r="6" spans="1:20">
      <c r="C6" s="24" t="s">
        <v>980</v>
      </c>
      <c r="D6" s="24" t="s">
        <v>117</v>
      </c>
      <c r="E6" s="125" t="s">
        <v>115</v>
      </c>
      <c r="F6" s="125" t="s">
        <v>115</v>
      </c>
      <c r="G6" s="125" t="s">
        <v>115</v>
      </c>
      <c r="H6" s="55" t="s">
        <v>115</v>
      </c>
      <c r="I6" s="55" t="s">
        <v>115</v>
      </c>
      <c r="J6" s="55" t="s">
        <v>115</v>
      </c>
      <c r="K6" s="55" t="s">
        <v>115</v>
      </c>
      <c r="L6" s="55" t="s">
        <v>115</v>
      </c>
      <c r="M6" s="55" t="s">
        <v>115</v>
      </c>
      <c r="N6" s="55" t="s">
        <v>115</v>
      </c>
      <c r="O6" s="55" t="s">
        <v>115</v>
      </c>
      <c r="P6" s="55" t="s">
        <v>115</v>
      </c>
      <c r="Q6" s="55" t="s">
        <v>115</v>
      </c>
      <c r="R6" s="55" t="s">
        <v>115</v>
      </c>
      <c r="S6" s="55" t="s">
        <v>115</v>
      </c>
      <c r="T6" s="55" t="s">
        <v>115</v>
      </c>
    </row>
    <row r="7" spans="1:20">
      <c r="A7">
        <v>1</v>
      </c>
      <c r="B7" s="23" t="s">
        <v>176</v>
      </c>
      <c r="C7" s="53">
        <f t="shared" ref="C7:K7" si="0">SUBTOTAL(9,C8:C143)</f>
        <v>2648026743</v>
      </c>
      <c r="D7" s="53">
        <f t="shared" si="0"/>
        <v>2518373935</v>
      </c>
      <c r="E7" s="53">
        <f t="shared" si="0"/>
        <v>2455710950</v>
      </c>
      <c r="F7" s="53">
        <f t="shared" si="0"/>
        <v>2383505557</v>
      </c>
      <c r="G7" s="53">
        <f t="shared" si="0"/>
        <v>2340525582</v>
      </c>
      <c r="H7" s="53">
        <f t="shared" si="0"/>
        <v>2212837308</v>
      </c>
      <c r="I7" s="53">
        <f t="shared" si="0"/>
        <v>2193749550</v>
      </c>
      <c r="J7" s="53">
        <f t="shared" si="0"/>
        <v>2168574547</v>
      </c>
      <c r="K7" s="53">
        <f t="shared" si="0"/>
        <v>2175291611</v>
      </c>
      <c r="L7" s="53">
        <f t="shared" ref="L7" si="1">SUBTOTAL(9,L8:L143)</f>
        <v>2124051492</v>
      </c>
      <c r="M7" s="53">
        <f t="shared" ref="M7:T7" si="2">SUBTOTAL(9,M8:M143)</f>
        <v>2065510420</v>
      </c>
      <c r="N7" s="53">
        <f t="shared" si="2"/>
        <v>1895888258</v>
      </c>
      <c r="O7" s="53">
        <f t="shared" si="2"/>
        <v>1770677030</v>
      </c>
      <c r="P7" s="53">
        <f t="shared" si="2"/>
        <v>1632720020</v>
      </c>
      <c r="Q7" s="53">
        <f t="shared" si="2"/>
        <v>1501944100</v>
      </c>
      <c r="R7" s="53">
        <f t="shared" si="2"/>
        <v>1432436800</v>
      </c>
      <c r="S7" s="53">
        <f t="shared" si="2"/>
        <v>1333156600</v>
      </c>
      <c r="T7" s="53">
        <f t="shared" si="2"/>
        <v>1233036391</v>
      </c>
    </row>
    <row r="8" spans="1:20">
      <c r="A8">
        <f>A7+1</f>
        <v>2</v>
      </c>
      <c r="B8" s="23" t="s">
        <v>659</v>
      </c>
      <c r="C8" s="53">
        <f t="shared" ref="C8:P8" si="3">SUBTOTAL(9,C9:C12)</f>
        <v>1948423808</v>
      </c>
      <c r="D8" s="53">
        <f t="shared" si="3"/>
        <v>1825753345</v>
      </c>
      <c r="E8" s="53">
        <f t="shared" si="3"/>
        <v>1769098393</v>
      </c>
      <c r="F8" s="53">
        <f t="shared" si="3"/>
        <v>1717588731</v>
      </c>
      <c r="G8" s="53">
        <f t="shared" si="3"/>
        <v>1683922285</v>
      </c>
      <c r="H8" s="53">
        <f t="shared" si="3"/>
        <v>1611434722</v>
      </c>
      <c r="I8" s="53">
        <f t="shared" si="3"/>
        <v>1611590477</v>
      </c>
      <c r="J8" s="53">
        <f t="shared" si="3"/>
        <v>1626600722</v>
      </c>
      <c r="K8" s="53">
        <f t="shared" si="3"/>
        <v>1626600722</v>
      </c>
      <c r="L8" s="53">
        <f t="shared" si="3"/>
        <v>1586600722</v>
      </c>
      <c r="M8" s="53">
        <f t="shared" si="3"/>
        <v>1533218089</v>
      </c>
      <c r="N8" s="53">
        <f t="shared" si="3"/>
        <v>1431337820</v>
      </c>
      <c r="O8" s="53">
        <f t="shared" si="3"/>
        <v>1322374187</v>
      </c>
      <c r="P8" s="53">
        <f t="shared" si="3"/>
        <v>1240850321</v>
      </c>
      <c r="Q8" s="53">
        <f t="shared" ref="Q8" si="4">SUBTOTAL(9,Q9:Q12)</f>
        <v>1168875300</v>
      </c>
      <c r="R8" s="53">
        <f t="shared" ref="R8" si="5">SUBTOTAL(9,R9:R12)</f>
        <v>1081428700</v>
      </c>
      <c r="S8" s="53">
        <f>SUBTOTAL(9,S9:S12)</f>
        <v>988000900</v>
      </c>
      <c r="T8" s="53">
        <f>SUBTOTAL(9,T9:T12)</f>
        <v>897412605</v>
      </c>
    </row>
    <row r="9" spans="1:20">
      <c r="A9">
        <f t="shared" ref="A9:A84" si="6">A8+1</f>
        <v>3</v>
      </c>
      <c r="B9" s="23" t="s">
        <v>177</v>
      </c>
      <c r="C9" s="53">
        <f t="shared" ref="C9:D9" si="7">SUBTOTAL(9,C10:C12)</f>
        <v>1948423808</v>
      </c>
      <c r="D9" s="53">
        <f t="shared" si="7"/>
        <v>1825753345</v>
      </c>
      <c r="E9" s="53">
        <f t="shared" ref="E9:P9" si="8">SUBTOTAL(9,E10:E12)</f>
        <v>1769098393</v>
      </c>
      <c r="F9" s="53">
        <f t="shared" si="8"/>
        <v>1717588731</v>
      </c>
      <c r="G9" s="53">
        <f t="shared" si="8"/>
        <v>1683922285</v>
      </c>
      <c r="H9" s="53">
        <f t="shared" si="8"/>
        <v>1611434722</v>
      </c>
      <c r="I9" s="53">
        <f t="shared" si="8"/>
        <v>1611590477</v>
      </c>
      <c r="J9" s="53">
        <f t="shared" si="8"/>
        <v>1626600722</v>
      </c>
      <c r="K9" s="53">
        <f t="shared" si="8"/>
        <v>1626600722</v>
      </c>
      <c r="L9" s="53">
        <f t="shared" si="8"/>
        <v>1586600722</v>
      </c>
      <c r="M9" s="53">
        <f t="shared" si="8"/>
        <v>1533218089</v>
      </c>
      <c r="N9" s="53">
        <f t="shared" si="8"/>
        <v>1431337820</v>
      </c>
      <c r="O9" s="53">
        <f t="shared" si="8"/>
        <v>1322374187</v>
      </c>
      <c r="P9" s="53">
        <f t="shared" si="8"/>
        <v>1240850321</v>
      </c>
      <c r="Q9" s="53">
        <f t="shared" ref="Q9" si="9">SUBTOTAL(9,Q10:Q12)</f>
        <v>1168875300</v>
      </c>
      <c r="R9" s="53">
        <f t="shared" ref="R9" si="10">SUBTOTAL(9,R10:R12)</f>
        <v>1081428700</v>
      </c>
      <c r="S9" s="53">
        <f>SUBTOTAL(9,S10:S12)</f>
        <v>988000900</v>
      </c>
      <c r="T9" s="53">
        <f>SUBTOTAL(9,T10:T12)</f>
        <v>897412605</v>
      </c>
    </row>
    <row r="10" spans="1:20" ht="15">
      <c r="A10">
        <f t="shared" si="6"/>
        <v>4</v>
      </c>
      <c r="B10" t="s">
        <v>178</v>
      </c>
      <c r="C10" s="43">
        <v>1947823808</v>
      </c>
      <c r="D10">
        <v>1825153345</v>
      </c>
      <c r="E10" s="43">
        <v>1768498393</v>
      </c>
      <c r="F10" s="29">
        <v>1716988731</v>
      </c>
      <c r="G10" s="29">
        <v>1683322285</v>
      </c>
      <c r="H10" s="29">
        <v>1610834722</v>
      </c>
      <c r="I10" s="29">
        <v>1610334722</v>
      </c>
      <c r="J10" s="29">
        <v>1626600722</v>
      </c>
      <c r="K10" s="29">
        <v>1626600722</v>
      </c>
      <c r="L10" s="29">
        <v>1586600722</v>
      </c>
      <c r="M10" s="29">
        <v>1533218089</v>
      </c>
      <c r="N10" s="29">
        <v>1431337820</v>
      </c>
      <c r="O10" s="29">
        <v>1322374187</v>
      </c>
      <c r="P10" s="29">
        <v>1240850321</v>
      </c>
      <c r="Q10" s="29">
        <v>1168875300</v>
      </c>
      <c r="R10" s="29">
        <v>1079911800</v>
      </c>
      <c r="S10" s="29">
        <v>988000900</v>
      </c>
      <c r="T10" s="60">
        <v>897412605</v>
      </c>
    </row>
    <row r="11" spans="1:20">
      <c r="A11">
        <f t="shared" si="6"/>
        <v>5</v>
      </c>
      <c r="B11" t="s">
        <v>1023</v>
      </c>
      <c r="C11" s="43">
        <v>600000</v>
      </c>
      <c r="D11">
        <v>600000</v>
      </c>
      <c r="E11" s="29">
        <v>600000</v>
      </c>
      <c r="F11" s="29">
        <v>600000</v>
      </c>
      <c r="G11" s="29">
        <v>600000</v>
      </c>
      <c r="H11" s="29">
        <v>600000</v>
      </c>
      <c r="I11" s="29">
        <v>0</v>
      </c>
      <c r="J11" s="29">
        <v>0</v>
      </c>
      <c r="N11" s="29"/>
      <c r="O11" s="29"/>
      <c r="P11" s="29"/>
      <c r="T11" s="43"/>
    </row>
    <row r="12" spans="1:20">
      <c r="A12">
        <f t="shared" si="6"/>
        <v>6</v>
      </c>
      <c r="B12" t="s">
        <v>1024</v>
      </c>
      <c r="F12" s="29">
        <v>0</v>
      </c>
      <c r="G12" s="29">
        <v>0</v>
      </c>
      <c r="H12" s="29">
        <v>0</v>
      </c>
      <c r="I12" s="29">
        <v>1255755</v>
      </c>
      <c r="J12" s="29">
        <v>0</v>
      </c>
      <c r="N12" s="29"/>
      <c r="O12" s="29"/>
      <c r="P12" s="29"/>
      <c r="Q12">
        <v>0</v>
      </c>
      <c r="R12" s="29">
        <v>1516900</v>
      </c>
      <c r="S12">
        <v>0</v>
      </c>
      <c r="T12" s="43"/>
    </row>
    <row r="13" spans="1:20">
      <c r="A13">
        <f t="shared" si="6"/>
        <v>7</v>
      </c>
      <c r="B13" s="23" t="s">
        <v>658</v>
      </c>
      <c r="C13" s="53">
        <f>SUBTOTAL(9,C14:C58)</f>
        <v>593626527</v>
      </c>
      <c r="D13" s="53">
        <f>SUBTOTAL(9,D14:D58)</f>
        <v>588126527</v>
      </c>
      <c r="E13" s="53">
        <f>SUBTOTAL(9,E14:E58)</f>
        <v>580500452</v>
      </c>
      <c r="F13" s="53">
        <f>SUBTOTAL(9,F14:F58)</f>
        <v>558872800</v>
      </c>
      <c r="G13" s="53">
        <f t="shared" ref="G13:T13" si="11">SUBTOTAL(9,G14:G58)</f>
        <v>549948653</v>
      </c>
      <c r="H13" s="53">
        <f t="shared" si="11"/>
        <v>478390365</v>
      </c>
      <c r="I13" s="53">
        <f t="shared" si="11"/>
        <v>450198583</v>
      </c>
      <c r="J13" s="53">
        <f t="shared" si="11"/>
        <v>400431093</v>
      </c>
      <c r="K13" s="53">
        <f t="shared" si="11"/>
        <v>448024893</v>
      </c>
      <c r="L13" s="53">
        <f t="shared" si="11"/>
        <v>443540549</v>
      </c>
      <c r="M13" s="53">
        <f t="shared" si="11"/>
        <v>439670043</v>
      </c>
      <c r="N13" s="53">
        <f t="shared" si="11"/>
        <v>380759387</v>
      </c>
      <c r="O13" s="53">
        <f t="shared" si="11"/>
        <v>365591151</v>
      </c>
      <c r="P13" s="53">
        <f t="shared" si="11"/>
        <v>315078030</v>
      </c>
      <c r="Q13" s="53">
        <f t="shared" si="11"/>
        <v>298424800</v>
      </c>
      <c r="R13" s="53">
        <f t="shared" si="11"/>
        <v>319445400</v>
      </c>
      <c r="S13" s="53">
        <f t="shared" si="11"/>
        <v>316908400</v>
      </c>
      <c r="T13" s="53">
        <f t="shared" si="11"/>
        <v>289392062</v>
      </c>
    </row>
    <row r="14" spans="1:20">
      <c r="A14">
        <f t="shared" si="6"/>
        <v>8</v>
      </c>
      <c r="B14" s="23" t="s">
        <v>180</v>
      </c>
      <c r="C14" s="53">
        <f t="shared" ref="C14:T14" si="12">SUBTOTAL(9,C15:C16)</f>
        <v>187816374</v>
      </c>
      <c r="D14" s="53">
        <f t="shared" ref="D14" si="13">SUBTOTAL(9,D15:D16)</f>
        <v>182316374</v>
      </c>
      <c r="E14" s="53">
        <f t="shared" si="12"/>
        <v>180733817</v>
      </c>
      <c r="F14" s="53">
        <f t="shared" si="12"/>
        <v>171296959</v>
      </c>
      <c r="G14" s="53">
        <f t="shared" si="12"/>
        <v>166833237</v>
      </c>
      <c r="H14" s="53">
        <f t="shared" si="12"/>
        <v>158278002</v>
      </c>
      <c r="I14" s="53">
        <f t="shared" si="12"/>
        <v>152174593</v>
      </c>
      <c r="J14" s="53">
        <f t="shared" si="12"/>
        <v>144856335</v>
      </c>
      <c r="K14" s="53">
        <f t="shared" si="12"/>
        <v>147449587</v>
      </c>
      <c r="L14" s="53">
        <f t="shared" si="12"/>
        <v>155185870</v>
      </c>
      <c r="M14" s="53">
        <f t="shared" si="12"/>
        <v>166068926</v>
      </c>
      <c r="N14" s="53">
        <f t="shared" si="12"/>
        <v>150848905</v>
      </c>
      <c r="O14" s="53">
        <f t="shared" si="12"/>
        <v>141588156</v>
      </c>
      <c r="P14" s="53">
        <f t="shared" si="12"/>
        <v>120800001</v>
      </c>
      <c r="Q14" s="53">
        <f t="shared" si="12"/>
        <v>108484600</v>
      </c>
      <c r="R14" s="53">
        <f t="shared" si="12"/>
        <v>104422300</v>
      </c>
      <c r="S14" s="53">
        <f t="shared" si="12"/>
        <v>103934400</v>
      </c>
      <c r="T14" s="53">
        <f t="shared" si="12"/>
        <v>97745152</v>
      </c>
    </row>
    <row r="15" spans="1:20" ht="15">
      <c r="A15">
        <f t="shared" si="6"/>
        <v>9</v>
      </c>
      <c r="B15" t="s">
        <v>181</v>
      </c>
      <c r="C15">
        <v>187816374</v>
      </c>
      <c r="D15">
        <v>182316374</v>
      </c>
      <c r="E15" s="43">
        <v>180733817</v>
      </c>
      <c r="F15" s="150">
        <v>171296959</v>
      </c>
      <c r="G15" s="150">
        <v>166833237</v>
      </c>
      <c r="H15" s="29">
        <v>158278002</v>
      </c>
      <c r="I15" s="29">
        <v>152174593</v>
      </c>
      <c r="J15" s="29">
        <v>144856335</v>
      </c>
      <c r="K15" s="29">
        <v>147449587</v>
      </c>
      <c r="L15" s="29">
        <v>155185870</v>
      </c>
      <c r="M15" s="29">
        <v>153581523</v>
      </c>
      <c r="N15" s="29">
        <v>150848905</v>
      </c>
      <c r="O15" s="29">
        <v>141588156</v>
      </c>
      <c r="P15" s="29">
        <v>120800001</v>
      </c>
      <c r="Q15" s="43">
        <v>108484600</v>
      </c>
      <c r="R15" s="43">
        <v>104422300</v>
      </c>
      <c r="S15" s="43">
        <v>103934400</v>
      </c>
      <c r="T15" s="60">
        <v>97745152</v>
      </c>
    </row>
    <row r="16" spans="1:20">
      <c r="B16" s="24" t="s">
        <v>666</v>
      </c>
      <c r="C16" s="24"/>
      <c r="D16" s="24"/>
      <c r="F16" s="29">
        <v>0</v>
      </c>
      <c r="G16" s="29">
        <v>0</v>
      </c>
      <c r="H16" s="29">
        <v>0</v>
      </c>
      <c r="I16" s="29">
        <v>0</v>
      </c>
      <c r="J16" s="29">
        <v>0</v>
      </c>
      <c r="K16" s="56" t="s">
        <v>4</v>
      </c>
      <c r="L16" s="56" t="s">
        <v>4</v>
      </c>
      <c r="M16" s="56">
        <v>12487403</v>
      </c>
      <c r="N16" s="29">
        <v>0</v>
      </c>
      <c r="O16" s="29">
        <v>0</v>
      </c>
      <c r="P16" s="29">
        <v>0</v>
      </c>
      <c r="T16" s="43"/>
    </row>
    <row r="17" spans="1:20" ht="14.25">
      <c r="A17">
        <f>A15+1</f>
        <v>10</v>
      </c>
      <c r="B17" s="23" t="s">
        <v>182</v>
      </c>
      <c r="C17" s="53">
        <f t="shared" ref="C17:S17" si="14">SUBTOTAL(9,C18:C27)</f>
        <v>374952260</v>
      </c>
      <c r="D17" s="53">
        <f t="shared" si="14"/>
        <v>370290187</v>
      </c>
      <c r="E17" s="53">
        <f t="shared" si="14"/>
        <v>367540628</v>
      </c>
      <c r="F17" s="53">
        <f t="shared" si="14"/>
        <v>346569329</v>
      </c>
      <c r="G17" s="53">
        <f t="shared" si="14"/>
        <v>348419685</v>
      </c>
      <c r="H17" s="53">
        <f t="shared" si="14"/>
        <v>291130238</v>
      </c>
      <c r="I17" s="53">
        <f t="shared" si="14"/>
        <v>275847626</v>
      </c>
      <c r="J17" s="53">
        <f t="shared" si="14"/>
        <v>233755768</v>
      </c>
      <c r="K17" s="53">
        <f t="shared" si="14"/>
        <v>275653189</v>
      </c>
      <c r="L17" s="53">
        <f t="shared" si="14"/>
        <v>248983478</v>
      </c>
      <c r="M17" s="53">
        <f t="shared" si="14"/>
        <v>243387337</v>
      </c>
      <c r="N17" s="53">
        <f t="shared" si="14"/>
        <v>203089271</v>
      </c>
      <c r="O17" s="53">
        <f t="shared" si="14"/>
        <v>201024859</v>
      </c>
      <c r="P17" s="53">
        <f t="shared" si="14"/>
        <v>173242151</v>
      </c>
      <c r="Q17" s="53">
        <f t="shared" si="14"/>
        <v>170146100</v>
      </c>
      <c r="R17" s="53">
        <f t="shared" si="14"/>
        <v>179250500</v>
      </c>
      <c r="S17" s="53">
        <f t="shared" si="14"/>
        <v>180611400</v>
      </c>
      <c r="T17" s="62">
        <v>179092729</v>
      </c>
    </row>
    <row r="18" spans="1:20">
      <c r="A18">
        <f t="shared" si="6"/>
        <v>11</v>
      </c>
      <c r="B18" t="s">
        <v>183</v>
      </c>
      <c r="C18">
        <v>272604552</v>
      </c>
      <c r="D18">
        <v>267942479</v>
      </c>
      <c r="E18" s="29">
        <v>267067683</v>
      </c>
      <c r="F18" s="150">
        <v>256052379</v>
      </c>
      <c r="G18" s="29">
        <v>259537199</v>
      </c>
      <c r="H18" s="29">
        <v>224496925</v>
      </c>
      <c r="I18" s="29">
        <v>213737655</v>
      </c>
      <c r="J18" s="29">
        <v>179971938</v>
      </c>
      <c r="K18" s="29">
        <v>214680283</v>
      </c>
      <c r="L18" s="29">
        <v>191378106</v>
      </c>
      <c r="M18" s="29">
        <v>188643880</v>
      </c>
      <c r="N18" s="29">
        <v>158933309</v>
      </c>
      <c r="O18" s="29">
        <v>162392405</v>
      </c>
      <c r="P18" s="29">
        <v>139338935</v>
      </c>
      <c r="Q18" s="43">
        <v>136323900</v>
      </c>
      <c r="R18" s="43">
        <v>142452800</v>
      </c>
      <c r="S18" s="43">
        <v>140120400</v>
      </c>
      <c r="T18" s="43"/>
    </row>
    <row r="19" spans="1:20">
      <c r="A19">
        <f t="shared" si="6"/>
        <v>12</v>
      </c>
      <c r="B19" t="s">
        <v>1025</v>
      </c>
      <c r="C19" s="29">
        <v>1810925</v>
      </c>
      <c r="D19" s="29">
        <v>1810925</v>
      </c>
      <c r="E19" s="29">
        <v>0</v>
      </c>
      <c r="F19" s="29">
        <v>0</v>
      </c>
      <c r="G19" s="29">
        <v>0</v>
      </c>
      <c r="H19" s="29">
        <v>0</v>
      </c>
      <c r="I19" s="29">
        <v>755138</v>
      </c>
      <c r="J19" s="29">
        <v>0</v>
      </c>
      <c r="K19" s="29">
        <v>4537782</v>
      </c>
      <c r="L19" s="29">
        <v>4075882</v>
      </c>
      <c r="M19" s="29">
        <v>4032729</v>
      </c>
      <c r="N19" s="29">
        <v>2501547</v>
      </c>
      <c r="O19" s="29">
        <v>2510998</v>
      </c>
      <c r="P19" s="29">
        <v>2951775</v>
      </c>
      <c r="Q19" s="43">
        <v>2934000</v>
      </c>
      <c r="R19" s="43">
        <v>2700300</v>
      </c>
      <c r="S19" s="43">
        <v>2649900</v>
      </c>
      <c r="T19" s="43"/>
    </row>
    <row r="20" spans="1:20">
      <c r="A20">
        <f t="shared" si="6"/>
        <v>13</v>
      </c>
      <c r="B20" t="s">
        <v>184</v>
      </c>
      <c r="C20">
        <v>2928256</v>
      </c>
      <c r="D20">
        <v>2928256</v>
      </c>
      <c r="E20" s="29">
        <v>2898246</v>
      </c>
      <c r="F20" s="29">
        <v>2828655</v>
      </c>
      <c r="G20" s="29">
        <v>2788033</v>
      </c>
      <c r="H20" s="29">
        <v>2404295</v>
      </c>
      <c r="I20" s="29">
        <v>2363512</v>
      </c>
      <c r="J20" s="29">
        <v>1943058</v>
      </c>
      <c r="K20" s="29">
        <v>1914353</v>
      </c>
      <c r="L20" s="29">
        <v>1788381</v>
      </c>
      <c r="M20" s="29">
        <v>1769446</v>
      </c>
      <c r="N20" s="29">
        <v>1664528</v>
      </c>
      <c r="O20" s="29">
        <v>1670816</v>
      </c>
      <c r="P20" s="29">
        <v>1566759</v>
      </c>
      <c r="Q20" s="43">
        <v>1557300</v>
      </c>
      <c r="R20" s="43">
        <v>1763400</v>
      </c>
      <c r="S20" s="43">
        <v>1730500</v>
      </c>
      <c r="T20" s="43"/>
    </row>
    <row r="21" spans="1:20">
      <c r="A21">
        <f t="shared" si="6"/>
        <v>14</v>
      </c>
      <c r="B21" t="s">
        <v>185</v>
      </c>
      <c r="C21">
        <v>4650759</v>
      </c>
      <c r="D21">
        <v>4650759</v>
      </c>
      <c r="E21" s="29">
        <v>4603520</v>
      </c>
      <c r="F21" s="29">
        <v>4016690</v>
      </c>
      <c r="G21" s="29">
        <v>3959007</v>
      </c>
      <c r="H21" s="29">
        <v>2747766</v>
      </c>
      <c r="I21" s="29">
        <v>2701156</v>
      </c>
      <c r="J21" s="29">
        <v>2098503</v>
      </c>
      <c r="K21" s="29">
        <v>2067501</v>
      </c>
      <c r="L21" s="29">
        <v>1910316</v>
      </c>
      <c r="M21" s="29">
        <v>1890091</v>
      </c>
      <c r="N21" s="29">
        <v>1823054</v>
      </c>
      <c r="O21" s="29">
        <v>1829942</v>
      </c>
      <c r="P21" s="29">
        <v>1175070</v>
      </c>
      <c r="Q21" s="43">
        <v>1175300</v>
      </c>
      <c r="R21" s="43">
        <v>1278500</v>
      </c>
      <c r="S21" s="43">
        <v>1297900</v>
      </c>
      <c r="T21" s="43"/>
    </row>
    <row r="22" spans="1:20">
      <c r="A22">
        <f t="shared" si="6"/>
        <v>15</v>
      </c>
      <c r="B22" t="s">
        <v>186</v>
      </c>
      <c r="C22">
        <v>40593664</v>
      </c>
      <c r="D22">
        <v>40593664</v>
      </c>
      <c r="E22" s="29">
        <v>40177643</v>
      </c>
      <c r="F22" s="29">
        <v>38865715</v>
      </c>
      <c r="G22" s="29">
        <v>38028767</v>
      </c>
      <c r="H22" s="29">
        <v>32188110</v>
      </c>
      <c r="I22" s="29">
        <v>31642115</v>
      </c>
      <c r="J22" s="29">
        <v>25531783</v>
      </c>
      <c r="K22" s="29">
        <v>25039736</v>
      </c>
      <c r="L22" s="29">
        <v>22110890</v>
      </c>
      <c r="M22" s="29">
        <v>21876793</v>
      </c>
      <c r="N22" s="29">
        <v>20132857</v>
      </c>
      <c r="O22" s="29">
        <v>16230786</v>
      </c>
      <c r="P22" s="29">
        <v>14453356</v>
      </c>
      <c r="Q22" s="43">
        <v>14495500</v>
      </c>
      <c r="R22" s="43">
        <v>14989100</v>
      </c>
      <c r="S22" s="43">
        <v>14709600</v>
      </c>
      <c r="T22" s="43"/>
    </row>
    <row r="23" spans="1:20">
      <c r="A23">
        <f t="shared" si="6"/>
        <v>16</v>
      </c>
      <c r="B23" t="s">
        <v>187</v>
      </c>
      <c r="C23">
        <v>2296671</v>
      </c>
      <c r="D23">
        <v>2296671</v>
      </c>
      <c r="E23" s="29">
        <v>2273134</v>
      </c>
      <c r="F23" s="29">
        <v>1470900</v>
      </c>
      <c r="G23" s="29">
        <v>1449777</v>
      </c>
      <c r="H23" s="29">
        <v>3091236</v>
      </c>
      <c r="I23" s="29">
        <v>3038801</v>
      </c>
      <c r="J23" s="29">
        <v>2642558</v>
      </c>
      <c r="K23" s="29">
        <v>2603520</v>
      </c>
      <c r="L23" s="29">
        <v>2398056</v>
      </c>
      <c r="M23" s="29">
        <v>2372667</v>
      </c>
      <c r="N23" s="29">
        <v>1624896</v>
      </c>
      <c r="O23" s="29">
        <v>1273003</v>
      </c>
      <c r="P23" s="29">
        <v>1684266</v>
      </c>
      <c r="Q23" s="43">
        <v>1684600</v>
      </c>
      <c r="R23" s="43">
        <v>2248400</v>
      </c>
      <c r="S23" s="43">
        <v>2206400</v>
      </c>
      <c r="T23" s="43"/>
    </row>
    <row r="24" spans="1:20">
      <c r="A24">
        <f t="shared" si="6"/>
        <v>17</v>
      </c>
      <c r="B24" t="s">
        <v>188</v>
      </c>
      <c r="C24">
        <v>16478616</v>
      </c>
      <c r="D24">
        <v>16478616</v>
      </c>
      <c r="E24" s="29">
        <v>16309736</v>
      </c>
      <c r="F24" s="29">
        <v>15840466</v>
      </c>
      <c r="G24" s="29">
        <v>15612984</v>
      </c>
      <c r="H24" s="29">
        <v>13493491</v>
      </c>
      <c r="I24" s="29">
        <v>13264606</v>
      </c>
      <c r="J24" s="29">
        <v>10842264</v>
      </c>
      <c r="K24" s="29">
        <v>10605515</v>
      </c>
      <c r="L24" s="29">
        <v>9917385</v>
      </c>
      <c r="M24" s="29">
        <v>9812385</v>
      </c>
      <c r="N24" s="29">
        <v>8441532</v>
      </c>
      <c r="O24" s="29">
        <v>8115393</v>
      </c>
      <c r="P24" s="29">
        <v>7638997</v>
      </c>
      <c r="Q24" s="43">
        <v>7578000</v>
      </c>
      <c r="R24" s="43">
        <v>8958400</v>
      </c>
      <c r="S24" s="43">
        <v>8796200</v>
      </c>
      <c r="T24" s="43"/>
    </row>
    <row r="25" spans="1:20">
      <c r="A25">
        <f t="shared" si="6"/>
        <v>18</v>
      </c>
      <c r="B25" t="s">
        <v>189</v>
      </c>
      <c r="C25">
        <v>32555315</v>
      </c>
      <c r="D25">
        <v>32555315</v>
      </c>
      <c r="E25" s="29">
        <v>33187756</v>
      </c>
      <c r="F25" s="29">
        <v>26476208</v>
      </c>
      <c r="G25" s="29">
        <v>26040226</v>
      </c>
      <c r="H25" s="29">
        <v>12217743</v>
      </c>
      <c r="I25" s="29">
        <v>7862294</v>
      </c>
      <c r="J25" s="29">
        <v>10453637</v>
      </c>
      <c r="K25" s="29">
        <v>13745054</v>
      </c>
      <c r="L25" s="29">
        <v>14876077</v>
      </c>
      <c r="M25" s="29">
        <v>12426340</v>
      </c>
      <c r="N25" s="29">
        <v>7886690</v>
      </c>
      <c r="O25" s="29">
        <v>7001516</v>
      </c>
      <c r="P25" s="29">
        <v>4432993</v>
      </c>
      <c r="Q25" s="43">
        <v>4397500</v>
      </c>
      <c r="R25" s="43">
        <v>4562100</v>
      </c>
      <c r="S25" s="43">
        <v>8729300</v>
      </c>
      <c r="T25" s="43"/>
    </row>
    <row r="26" spans="1:20">
      <c r="A26">
        <f t="shared" si="6"/>
        <v>19</v>
      </c>
      <c r="B26" t="s">
        <v>190</v>
      </c>
      <c r="C26">
        <v>1033502</v>
      </c>
      <c r="D26">
        <v>1033502</v>
      </c>
      <c r="E26" s="29">
        <v>1022910</v>
      </c>
      <c r="F26" s="29">
        <v>1018316</v>
      </c>
      <c r="G26" s="29">
        <v>1003692</v>
      </c>
      <c r="H26" s="29">
        <v>490672</v>
      </c>
      <c r="I26" s="29">
        <v>482349</v>
      </c>
      <c r="J26" s="29">
        <v>272027</v>
      </c>
      <c r="K26" s="29">
        <v>459445</v>
      </c>
      <c r="L26" s="29">
        <v>528385</v>
      </c>
      <c r="M26" s="29">
        <v>563006</v>
      </c>
      <c r="N26" s="29">
        <v>0</v>
      </c>
      <c r="O26" s="29">
        <v>0</v>
      </c>
      <c r="P26" s="29">
        <v>0</v>
      </c>
      <c r="Q26" s="43">
        <v>0</v>
      </c>
      <c r="R26" s="43">
        <v>297500</v>
      </c>
      <c r="S26" s="43">
        <v>371200</v>
      </c>
      <c r="T26" s="43"/>
    </row>
    <row r="27" spans="1:20">
      <c r="B27" s="24" t="s">
        <v>680</v>
      </c>
      <c r="C27" s="24"/>
      <c r="D27" s="24"/>
      <c r="F27" s="29"/>
      <c r="G27" s="29"/>
      <c r="H27" s="29"/>
      <c r="I27" s="29"/>
      <c r="J27" s="29"/>
      <c r="K27" s="29"/>
      <c r="L27" s="29"/>
      <c r="M27" s="29"/>
      <c r="N27" s="29">
        <v>80858</v>
      </c>
      <c r="O27" s="29">
        <v>0</v>
      </c>
      <c r="P27" s="29">
        <v>0</v>
      </c>
      <c r="Q27">
        <v>0</v>
      </c>
      <c r="R27">
        <v>0</v>
      </c>
      <c r="S27">
        <v>0</v>
      </c>
    </row>
    <row r="28" spans="1:20">
      <c r="A28" t="e">
        <f>#REF!+1</f>
        <v>#REF!</v>
      </c>
      <c r="B28" s="23" t="s">
        <v>1026</v>
      </c>
      <c r="C28" s="53">
        <f t="shared" ref="C28:S28" si="15">SUBTOTAL(9,C29:C35)</f>
        <v>2739951</v>
      </c>
      <c r="D28" s="53">
        <f t="shared" si="15"/>
        <v>7402024</v>
      </c>
      <c r="E28" s="53">
        <f t="shared" si="15"/>
        <v>2703834</v>
      </c>
      <c r="F28" s="53">
        <f t="shared" si="15"/>
        <v>12881551</v>
      </c>
      <c r="G28" s="53">
        <f t="shared" si="15"/>
        <v>6536798</v>
      </c>
      <c r="H28" s="53">
        <f t="shared" si="15"/>
        <v>5923406</v>
      </c>
      <c r="I28" s="53">
        <f t="shared" si="15"/>
        <v>2122453</v>
      </c>
      <c r="J28" s="53">
        <f t="shared" si="15"/>
        <v>1796173</v>
      </c>
      <c r="K28" s="53">
        <f t="shared" si="15"/>
        <v>1681593</v>
      </c>
      <c r="L28" s="53">
        <f t="shared" si="15"/>
        <v>13924134</v>
      </c>
      <c r="M28" s="53">
        <f t="shared" si="15"/>
        <v>6270988</v>
      </c>
      <c r="N28" s="53">
        <f t="shared" si="15"/>
        <v>4605975</v>
      </c>
      <c r="O28" s="53">
        <f t="shared" si="15"/>
        <v>1425066</v>
      </c>
      <c r="P28" s="53">
        <f t="shared" si="15"/>
        <v>2892642</v>
      </c>
      <c r="Q28" s="53">
        <f t="shared" si="15"/>
        <v>198300</v>
      </c>
      <c r="R28" s="53">
        <f t="shared" si="15"/>
        <v>6817500</v>
      </c>
      <c r="S28" s="53">
        <f t="shared" si="15"/>
        <v>4973400</v>
      </c>
      <c r="T28" s="53">
        <f>SUBTOTAL(9,T29:T32)</f>
        <v>0</v>
      </c>
    </row>
    <row r="29" spans="1:20">
      <c r="B29" s="24" t="s">
        <v>671</v>
      </c>
      <c r="C29" s="24"/>
      <c r="D29" s="24"/>
      <c r="F29" s="53"/>
      <c r="G29" s="53"/>
      <c r="H29" s="53"/>
      <c r="I29" s="53"/>
      <c r="J29" s="53"/>
      <c r="K29" s="53"/>
      <c r="L29" s="54">
        <v>12356086</v>
      </c>
      <c r="M29" s="54">
        <v>4705119</v>
      </c>
      <c r="N29" s="29">
        <v>3210160</v>
      </c>
      <c r="O29" s="29">
        <v>0</v>
      </c>
      <c r="P29" s="29">
        <v>1723435</v>
      </c>
      <c r="Q29" s="43">
        <v>0</v>
      </c>
      <c r="R29" s="43">
        <v>4011800</v>
      </c>
      <c r="S29" s="43">
        <v>2379500</v>
      </c>
      <c r="T29" s="43"/>
    </row>
    <row r="30" spans="1:20">
      <c r="A30" t="e">
        <f>A28+1</f>
        <v>#REF!</v>
      </c>
      <c r="B30" t="s">
        <v>1027</v>
      </c>
      <c r="C30">
        <v>2739951</v>
      </c>
      <c r="D30">
        <v>2739951</v>
      </c>
      <c r="E30" s="43">
        <v>2703834</v>
      </c>
      <c r="F30" s="29">
        <v>2559720</v>
      </c>
      <c r="G30" s="29">
        <v>2441092</v>
      </c>
      <c r="H30" s="29">
        <v>2183501</v>
      </c>
      <c r="I30" s="29">
        <v>2122453</v>
      </c>
      <c r="J30" s="29">
        <v>1796173</v>
      </c>
      <c r="K30" s="43">
        <v>1676643</v>
      </c>
      <c r="L30" s="43">
        <v>1558265</v>
      </c>
      <c r="M30" s="43">
        <v>1557846</v>
      </c>
      <c r="N30" s="29">
        <v>1390552</v>
      </c>
      <c r="O30" s="29">
        <v>1417041</v>
      </c>
      <c r="P30" s="29">
        <v>1165029</v>
      </c>
    </row>
    <row r="31" spans="1:20">
      <c r="B31" s="24" t="s">
        <v>667</v>
      </c>
      <c r="C31" s="24"/>
      <c r="D31" s="24"/>
      <c r="F31" s="29"/>
      <c r="G31" s="29"/>
      <c r="H31" s="29"/>
      <c r="I31" s="29"/>
      <c r="J31" s="29"/>
      <c r="K31" s="43">
        <v>4950</v>
      </c>
      <c r="L31" s="43">
        <v>9783</v>
      </c>
      <c r="M31" s="43">
        <v>8023</v>
      </c>
      <c r="N31" s="29">
        <v>5263</v>
      </c>
      <c r="O31" s="29">
        <v>8025</v>
      </c>
      <c r="P31" s="29">
        <v>4178</v>
      </c>
      <c r="Q31">
        <v>4700</v>
      </c>
      <c r="R31">
        <v>3200</v>
      </c>
      <c r="S31">
        <v>0</v>
      </c>
    </row>
    <row r="32" spans="1:20">
      <c r="A32" t="e">
        <f>A30+1</f>
        <v>#REF!</v>
      </c>
      <c r="B32" t="s">
        <v>1028</v>
      </c>
      <c r="C32">
        <v>0</v>
      </c>
      <c r="D32">
        <v>4662073</v>
      </c>
      <c r="E32" s="43">
        <v>0</v>
      </c>
      <c r="F32" s="43">
        <v>10321831</v>
      </c>
      <c r="G32" s="29">
        <v>4095706</v>
      </c>
      <c r="H32" s="29">
        <v>3739905</v>
      </c>
      <c r="I32" s="29">
        <v>0</v>
      </c>
      <c r="J32" s="29">
        <v>0</v>
      </c>
      <c r="K32" s="29">
        <v>0</v>
      </c>
      <c r="L32" s="29">
        <v>0</v>
      </c>
      <c r="M32" s="29">
        <v>0</v>
      </c>
      <c r="N32" s="29">
        <v>0</v>
      </c>
      <c r="O32">
        <v>0</v>
      </c>
      <c r="P32">
        <v>0</v>
      </c>
      <c r="T32" s="43"/>
    </row>
    <row r="33" spans="1:20">
      <c r="B33" s="24" t="s">
        <v>685</v>
      </c>
      <c r="C33" s="24"/>
      <c r="D33" s="24"/>
      <c r="F33" s="29"/>
      <c r="G33" s="29"/>
      <c r="H33" s="29"/>
      <c r="I33" s="29"/>
      <c r="J33" s="29"/>
      <c r="K33" s="29"/>
      <c r="L33" s="29"/>
      <c r="M33" s="29"/>
      <c r="N33" s="29"/>
      <c r="Q33" s="43">
        <v>0</v>
      </c>
      <c r="R33" s="43">
        <v>1920500</v>
      </c>
      <c r="S33" s="43">
        <v>1944900</v>
      </c>
      <c r="T33" s="43"/>
    </row>
    <row r="34" spans="1:20">
      <c r="B34" s="24" t="s">
        <v>686</v>
      </c>
      <c r="C34" s="24"/>
      <c r="D34" s="24"/>
      <c r="F34" s="29"/>
      <c r="G34" s="29"/>
      <c r="H34" s="29"/>
      <c r="I34" s="29"/>
      <c r="J34" s="29"/>
      <c r="K34" s="29"/>
      <c r="L34" s="29"/>
      <c r="M34" s="29"/>
      <c r="N34" s="29"/>
      <c r="Q34" s="43">
        <v>193600</v>
      </c>
      <c r="R34" s="43">
        <v>220700</v>
      </c>
      <c r="S34" s="43">
        <v>0</v>
      </c>
      <c r="T34" s="43"/>
    </row>
    <row r="35" spans="1:20">
      <c r="B35" s="24" t="s">
        <v>687</v>
      </c>
      <c r="C35" s="24"/>
      <c r="D35" s="24"/>
      <c r="F35" s="29"/>
      <c r="G35" s="29"/>
      <c r="H35" s="29"/>
      <c r="I35" s="29"/>
      <c r="J35" s="29"/>
      <c r="K35" s="29"/>
      <c r="L35" s="29"/>
      <c r="M35" s="29"/>
      <c r="N35" s="29"/>
      <c r="Q35" s="43">
        <v>0</v>
      </c>
      <c r="R35" s="43">
        <v>661300</v>
      </c>
      <c r="S35" s="43">
        <v>649000</v>
      </c>
      <c r="T35" s="43"/>
    </row>
    <row r="36" spans="1:20">
      <c r="A36" t="e">
        <f>A32+1</f>
        <v>#REF!</v>
      </c>
      <c r="B36" s="23" t="s">
        <v>192</v>
      </c>
      <c r="C36" s="53">
        <f t="shared" ref="C36:S36" si="16">SUBTOTAL(9,C37:C38)</f>
        <v>347548</v>
      </c>
      <c r="D36" s="53">
        <f t="shared" si="16"/>
        <v>347548</v>
      </c>
      <c r="E36" s="53">
        <f t="shared" si="16"/>
        <v>340733</v>
      </c>
      <c r="F36" s="53">
        <f t="shared" si="16"/>
        <v>368794</v>
      </c>
      <c r="G36" s="53">
        <f t="shared" si="16"/>
        <v>357211</v>
      </c>
      <c r="H36" s="53">
        <f t="shared" si="16"/>
        <v>266605</v>
      </c>
      <c r="I36" s="53">
        <f t="shared" si="16"/>
        <v>198029</v>
      </c>
      <c r="J36" s="53">
        <f t="shared" si="16"/>
        <v>151074</v>
      </c>
      <c r="K36" s="53">
        <f t="shared" si="16"/>
        <v>130440</v>
      </c>
      <c r="L36" s="53">
        <f t="shared" si="16"/>
        <v>121502</v>
      </c>
      <c r="M36" s="53">
        <f t="shared" si="16"/>
        <v>182698</v>
      </c>
      <c r="N36" s="53">
        <f t="shared" si="16"/>
        <v>111835</v>
      </c>
      <c r="O36" s="53">
        <f t="shared" si="16"/>
        <v>181249</v>
      </c>
      <c r="P36" s="53">
        <f t="shared" si="16"/>
        <v>168389</v>
      </c>
      <c r="Q36" s="53">
        <f t="shared" si="16"/>
        <v>1302700</v>
      </c>
      <c r="R36" s="53">
        <f t="shared" si="16"/>
        <v>1397600</v>
      </c>
      <c r="S36" s="53">
        <f t="shared" si="16"/>
        <v>1407200</v>
      </c>
      <c r="T36" s="53">
        <f t="shared" ref="T36" si="17">SUBTOTAL(9,T37:T37)</f>
        <v>0</v>
      </c>
    </row>
    <row r="37" spans="1:20">
      <c r="A37" t="e">
        <f t="shared" si="6"/>
        <v>#REF!</v>
      </c>
      <c r="B37" t="s">
        <v>193</v>
      </c>
      <c r="C37">
        <v>347548</v>
      </c>
      <c r="D37">
        <v>347548</v>
      </c>
      <c r="E37" s="43">
        <v>340733</v>
      </c>
      <c r="F37" s="29">
        <v>368794</v>
      </c>
      <c r="G37" s="29">
        <v>357211</v>
      </c>
      <c r="H37" s="29">
        <v>266605</v>
      </c>
      <c r="I37" s="29">
        <v>198029</v>
      </c>
      <c r="J37" s="29">
        <v>151074</v>
      </c>
      <c r="K37" s="43">
        <v>130440</v>
      </c>
      <c r="L37" s="43">
        <v>121502</v>
      </c>
      <c r="M37" s="43">
        <v>182698</v>
      </c>
      <c r="N37" s="29">
        <v>111835</v>
      </c>
      <c r="O37" s="29">
        <v>181249</v>
      </c>
      <c r="P37" s="29">
        <v>168389</v>
      </c>
      <c r="Q37" s="43">
        <v>147700</v>
      </c>
      <c r="R37" s="43">
        <v>179800</v>
      </c>
      <c r="S37" s="43">
        <v>179900</v>
      </c>
    </row>
    <row r="38" spans="1:20">
      <c r="B38" t="s">
        <v>684</v>
      </c>
      <c r="F38" s="29"/>
      <c r="G38" s="29"/>
      <c r="H38" s="29"/>
      <c r="I38" s="29"/>
      <c r="J38" s="29"/>
      <c r="K38" s="43"/>
      <c r="L38" s="43"/>
      <c r="M38" s="43"/>
      <c r="N38" s="29"/>
      <c r="O38" s="29"/>
      <c r="P38" s="29">
        <v>0</v>
      </c>
      <c r="Q38" s="43">
        <v>1155000</v>
      </c>
      <c r="R38" s="43">
        <v>1217800</v>
      </c>
      <c r="S38" s="43">
        <v>1227300</v>
      </c>
    </row>
    <row r="39" spans="1:20" ht="15">
      <c r="A39" t="e">
        <f>A37+1</f>
        <v>#REF!</v>
      </c>
      <c r="B39" s="23" t="s">
        <v>194</v>
      </c>
      <c r="C39" s="53">
        <f t="shared" ref="C39:K39" si="18">SUBTOTAL(9,C41:C42)</f>
        <v>86467</v>
      </c>
      <c r="D39" s="53">
        <f t="shared" si="18"/>
        <v>86467</v>
      </c>
      <c r="E39" s="53">
        <f t="shared" si="18"/>
        <v>0</v>
      </c>
      <c r="F39" s="53">
        <f t="shared" si="18"/>
        <v>0</v>
      </c>
      <c r="G39" s="53">
        <f t="shared" si="18"/>
        <v>99688</v>
      </c>
      <c r="H39" s="53">
        <f t="shared" si="18"/>
        <v>205890</v>
      </c>
      <c r="I39" s="53">
        <f t="shared" si="18"/>
        <v>217521</v>
      </c>
      <c r="J39" s="53">
        <f t="shared" si="18"/>
        <v>255509</v>
      </c>
      <c r="K39" s="53">
        <f t="shared" si="18"/>
        <v>241578</v>
      </c>
      <c r="L39" s="53">
        <f t="shared" ref="L39:S39" si="19">SUBTOTAL(9,L40:L42)</f>
        <v>778373</v>
      </c>
      <c r="M39" s="53">
        <f t="shared" si="19"/>
        <v>856568</v>
      </c>
      <c r="N39" s="53">
        <f t="shared" si="19"/>
        <v>784989</v>
      </c>
      <c r="O39" s="53">
        <f t="shared" si="19"/>
        <v>751660</v>
      </c>
      <c r="P39" s="53">
        <f t="shared" si="19"/>
        <v>1071657</v>
      </c>
      <c r="Q39" s="53">
        <f t="shared" si="19"/>
        <v>1226500</v>
      </c>
      <c r="R39" s="53">
        <f t="shared" si="19"/>
        <v>1522500</v>
      </c>
      <c r="S39" s="53">
        <f t="shared" si="19"/>
        <v>1468600</v>
      </c>
      <c r="T39" s="61">
        <v>12506564</v>
      </c>
    </row>
    <row r="40" spans="1:20">
      <c r="B40" t="s">
        <v>668</v>
      </c>
      <c r="F40" s="43">
        <v>0</v>
      </c>
      <c r="G40" s="43">
        <v>0</v>
      </c>
      <c r="H40" s="43">
        <v>0</v>
      </c>
      <c r="I40" s="43">
        <v>0</v>
      </c>
      <c r="J40" s="43">
        <v>0</v>
      </c>
      <c r="K40" s="43">
        <v>0</v>
      </c>
      <c r="L40" s="43">
        <v>573600</v>
      </c>
      <c r="M40" s="43">
        <v>573600</v>
      </c>
      <c r="N40" s="29">
        <v>573600</v>
      </c>
      <c r="O40" s="29">
        <v>573600</v>
      </c>
      <c r="P40" s="29">
        <v>882389</v>
      </c>
      <c r="Q40" s="43">
        <v>1045900.0000000001</v>
      </c>
      <c r="R40" s="43">
        <v>1315800</v>
      </c>
      <c r="S40" s="43">
        <v>1246000</v>
      </c>
    </row>
    <row r="41" spans="1:20">
      <c r="A41" t="e">
        <f>A39+1</f>
        <v>#REF!</v>
      </c>
      <c r="B41" t="s">
        <v>195</v>
      </c>
      <c r="C41">
        <v>86467</v>
      </c>
      <c r="D41">
        <v>86467</v>
      </c>
      <c r="E41" s="43">
        <v>0</v>
      </c>
      <c r="F41" s="43">
        <v>0</v>
      </c>
      <c r="G41" s="43">
        <v>99688</v>
      </c>
      <c r="H41" s="29">
        <v>105341</v>
      </c>
      <c r="I41" s="29">
        <v>103814</v>
      </c>
      <c r="J41" s="29">
        <v>149644</v>
      </c>
      <c r="K41" s="43">
        <v>97847</v>
      </c>
      <c r="L41" s="43">
        <v>95019</v>
      </c>
      <c r="M41" s="43">
        <v>94438</v>
      </c>
      <c r="N41">
        <v>47093</v>
      </c>
      <c r="O41">
        <v>106392</v>
      </c>
      <c r="P41">
        <v>102659</v>
      </c>
      <c r="Q41" s="43">
        <v>103800</v>
      </c>
      <c r="R41" s="43">
        <v>101100</v>
      </c>
      <c r="S41" s="43">
        <v>98900</v>
      </c>
    </row>
    <row r="42" spans="1:20">
      <c r="A42" t="e">
        <f t="shared" si="6"/>
        <v>#REF!</v>
      </c>
      <c r="B42" t="s">
        <v>196</v>
      </c>
      <c r="E42" s="43">
        <v>0</v>
      </c>
      <c r="F42" s="43">
        <v>0</v>
      </c>
      <c r="G42" s="43">
        <v>0</v>
      </c>
      <c r="H42" s="29">
        <v>100549</v>
      </c>
      <c r="I42" s="29">
        <v>113707</v>
      </c>
      <c r="J42" s="29">
        <v>105865</v>
      </c>
      <c r="K42" s="43">
        <v>143731</v>
      </c>
      <c r="L42" s="43">
        <v>109754</v>
      </c>
      <c r="M42" s="43">
        <v>188530</v>
      </c>
      <c r="N42">
        <v>164296</v>
      </c>
      <c r="O42">
        <v>71668</v>
      </c>
      <c r="P42">
        <v>86609</v>
      </c>
      <c r="Q42" s="43">
        <v>76800</v>
      </c>
      <c r="R42" s="43">
        <v>105600</v>
      </c>
      <c r="S42" s="43">
        <v>123700</v>
      </c>
    </row>
    <row r="43" spans="1:20">
      <c r="A43" t="e">
        <f t="shared" si="6"/>
        <v>#REF!</v>
      </c>
      <c r="B43" s="23" t="s">
        <v>197</v>
      </c>
      <c r="C43" s="53">
        <f t="shared" ref="C43:T43" si="20">SUBTOTAL(9,C44:C45)</f>
        <v>980549</v>
      </c>
      <c r="D43" s="53">
        <f t="shared" si="20"/>
        <v>980549</v>
      </c>
      <c r="E43" s="53">
        <f t="shared" si="20"/>
        <v>1068809</v>
      </c>
      <c r="F43" s="53">
        <f t="shared" si="20"/>
        <v>1130201</v>
      </c>
      <c r="G43" s="53">
        <f t="shared" si="20"/>
        <v>1121101</v>
      </c>
      <c r="H43" s="53">
        <f t="shared" si="20"/>
        <v>1152207</v>
      </c>
      <c r="I43" s="53">
        <f t="shared" si="20"/>
        <v>1332825</v>
      </c>
      <c r="J43" s="53">
        <f t="shared" si="20"/>
        <v>1230901</v>
      </c>
      <c r="K43" s="53">
        <f t="shared" si="20"/>
        <v>1002355</v>
      </c>
      <c r="L43" s="53">
        <f t="shared" si="20"/>
        <v>920870</v>
      </c>
      <c r="M43" s="53">
        <f t="shared" si="20"/>
        <v>397647</v>
      </c>
      <c r="N43" s="53">
        <f t="shared" si="20"/>
        <v>249115</v>
      </c>
      <c r="O43" s="53">
        <f t="shared" si="20"/>
        <v>58242</v>
      </c>
      <c r="P43" s="53">
        <f t="shared" si="20"/>
        <v>85889</v>
      </c>
      <c r="Q43" s="53">
        <f t="shared" si="20"/>
        <v>109900</v>
      </c>
      <c r="R43" s="53">
        <f t="shared" si="20"/>
        <v>192600</v>
      </c>
      <c r="S43" s="53">
        <f t="shared" si="20"/>
        <v>129199.99999999999</v>
      </c>
      <c r="T43" s="53">
        <f t="shared" si="20"/>
        <v>47617</v>
      </c>
    </row>
    <row r="44" spans="1:20" ht="15">
      <c r="A44" t="e">
        <f t="shared" si="6"/>
        <v>#REF!</v>
      </c>
      <c r="B44" t="s">
        <v>198</v>
      </c>
      <c r="C44">
        <v>140549</v>
      </c>
      <c r="D44">
        <v>140549</v>
      </c>
      <c r="E44" s="43">
        <v>363809</v>
      </c>
      <c r="F44" s="43">
        <v>370201</v>
      </c>
      <c r="G44" s="43">
        <v>176066</v>
      </c>
      <c r="H44" s="29">
        <v>162027</v>
      </c>
      <c r="I44" s="29">
        <v>357616</v>
      </c>
      <c r="J44" s="29">
        <v>240016</v>
      </c>
      <c r="K44" s="29">
        <v>145148</v>
      </c>
      <c r="L44" s="29">
        <v>187178</v>
      </c>
      <c r="M44" s="29">
        <v>272866</v>
      </c>
      <c r="N44">
        <v>249115</v>
      </c>
      <c r="O44">
        <v>58242</v>
      </c>
      <c r="P44">
        <v>85889</v>
      </c>
      <c r="Q44" s="43">
        <v>109900</v>
      </c>
      <c r="R44" s="43">
        <v>192600</v>
      </c>
      <c r="S44" s="43">
        <v>129199.99999999999</v>
      </c>
      <c r="T44" s="61">
        <v>47617</v>
      </c>
    </row>
    <row r="45" spans="1:20">
      <c r="A45" t="e">
        <f t="shared" si="6"/>
        <v>#REF!</v>
      </c>
      <c r="B45" t="s">
        <v>179</v>
      </c>
      <c r="C45">
        <v>840000</v>
      </c>
      <c r="D45">
        <v>840000</v>
      </c>
      <c r="E45" s="43">
        <v>705000</v>
      </c>
      <c r="F45" s="43">
        <v>760000</v>
      </c>
      <c r="G45" s="43">
        <v>945035</v>
      </c>
      <c r="H45" s="29">
        <v>990180</v>
      </c>
      <c r="I45" s="29">
        <v>975209</v>
      </c>
      <c r="J45" s="29">
        <v>990885</v>
      </c>
      <c r="K45" s="29">
        <v>857207</v>
      </c>
      <c r="L45" s="29">
        <v>733692</v>
      </c>
      <c r="M45" s="29">
        <v>124781</v>
      </c>
      <c r="N45">
        <v>0</v>
      </c>
      <c r="O45">
        <v>0</v>
      </c>
      <c r="P45">
        <v>0</v>
      </c>
    </row>
    <row r="46" spans="1:20">
      <c r="A46" t="e">
        <f t="shared" si="6"/>
        <v>#REF!</v>
      </c>
      <c r="B46" s="23" t="s">
        <v>199</v>
      </c>
      <c r="C46" s="53">
        <f t="shared" ref="C46:D46" si="21">SUBTOTAL(9,C47:C58)</f>
        <v>26703378</v>
      </c>
      <c r="D46" s="53">
        <f t="shared" si="21"/>
        <v>26703378</v>
      </c>
      <c r="E46" s="53">
        <f>SUBTOTAL(9,E47:E58)</f>
        <v>28112631</v>
      </c>
      <c r="F46" s="53">
        <f t="shared" ref="F46:T46" si="22">SUBTOTAL(9,F47:F58)</f>
        <v>26625966</v>
      </c>
      <c r="G46" s="53">
        <f t="shared" si="22"/>
        <v>26580933</v>
      </c>
      <c r="H46" s="53">
        <f t="shared" si="22"/>
        <v>21434017</v>
      </c>
      <c r="I46" s="53">
        <f t="shared" si="22"/>
        <v>18305536</v>
      </c>
      <c r="J46" s="53">
        <f t="shared" si="22"/>
        <v>18385333</v>
      </c>
      <c r="K46" s="53">
        <f t="shared" si="22"/>
        <v>21866151</v>
      </c>
      <c r="L46" s="53">
        <f t="shared" si="22"/>
        <v>23626322</v>
      </c>
      <c r="M46" s="53">
        <f t="shared" si="22"/>
        <v>22505879</v>
      </c>
      <c r="N46" s="53">
        <f t="shared" si="22"/>
        <v>21069297</v>
      </c>
      <c r="O46" s="53">
        <f t="shared" si="22"/>
        <v>20561919</v>
      </c>
      <c r="P46" s="53">
        <f t="shared" si="22"/>
        <v>16817301</v>
      </c>
      <c r="Q46" s="53">
        <f t="shared" si="22"/>
        <v>16956700</v>
      </c>
      <c r="R46" s="53">
        <f t="shared" si="22"/>
        <v>25842400</v>
      </c>
      <c r="S46" s="53">
        <f t="shared" si="22"/>
        <v>24384200</v>
      </c>
      <c r="T46" s="53">
        <f t="shared" si="22"/>
        <v>0</v>
      </c>
    </row>
    <row r="47" spans="1:20">
      <c r="A47" t="e">
        <f t="shared" si="6"/>
        <v>#REF!</v>
      </c>
      <c r="B47" t="s">
        <v>200</v>
      </c>
      <c r="C47">
        <v>2524836</v>
      </c>
      <c r="D47">
        <v>2524836</v>
      </c>
      <c r="E47" s="43">
        <v>2500261</v>
      </c>
      <c r="F47" s="29">
        <v>2182790</v>
      </c>
      <c r="G47" s="29">
        <v>2197472</v>
      </c>
      <c r="H47" s="29">
        <v>1386000</v>
      </c>
      <c r="I47" s="29">
        <v>1359258</v>
      </c>
      <c r="J47" s="29">
        <v>795284</v>
      </c>
      <c r="K47" s="29">
        <v>875203</v>
      </c>
      <c r="L47" s="29">
        <v>960330</v>
      </c>
      <c r="M47" s="29">
        <v>1183535</v>
      </c>
      <c r="N47" s="29">
        <v>915899</v>
      </c>
      <c r="O47" s="29">
        <v>896801</v>
      </c>
      <c r="P47" s="29">
        <v>684814</v>
      </c>
      <c r="Q47" s="43">
        <v>672500</v>
      </c>
      <c r="R47" s="43">
        <v>858500</v>
      </c>
      <c r="S47" s="43">
        <v>849200</v>
      </c>
      <c r="T47" s="43"/>
    </row>
    <row r="48" spans="1:20">
      <c r="A48" t="e">
        <f t="shared" si="6"/>
        <v>#REF!</v>
      </c>
      <c r="B48" s="24" t="s">
        <v>669</v>
      </c>
      <c r="C48" s="24"/>
      <c r="D48" s="24"/>
      <c r="F48" s="29">
        <v>0</v>
      </c>
      <c r="G48" s="29">
        <v>0</v>
      </c>
      <c r="H48" s="29">
        <v>0</v>
      </c>
      <c r="I48" s="29">
        <v>0</v>
      </c>
      <c r="J48" s="29">
        <v>4486508</v>
      </c>
      <c r="K48" s="29">
        <v>7604958</v>
      </c>
      <c r="L48" s="29">
        <v>9055710</v>
      </c>
      <c r="M48" s="29">
        <v>9322168</v>
      </c>
      <c r="N48" s="29">
        <v>9548047</v>
      </c>
      <c r="O48" s="29">
        <v>9426188</v>
      </c>
      <c r="P48" s="29">
        <v>8783645</v>
      </c>
      <c r="Q48" s="43">
        <v>9546100</v>
      </c>
      <c r="R48" s="43">
        <v>15364700</v>
      </c>
      <c r="S48" s="43">
        <v>15154600</v>
      </c>
      <c r="T48" s="43"/>
    </row>
    <row r="49" spans="1:20">
      <c r="A49" t="e">
        <f t="shared" si="6"/>
        <v>#REF!</v>
      </c>
      <c r="B49" t="s">
        <v>201</v>
      </c>
      <c r="C49">
        <v>371514</v>
      </c>
      <c r="D49">
        <v>371514</v>
      </c>
      <c r="E49" s="43">
        <v>352405</v>
      </c>
      <c r="F49" s="29">
        <v>315457</v>
      </c>
      <c r="G49" s="29">
        <v>414871</v>
      </c>
      <c r="H49" s="29">
        <v>241468</v>
      </c>
      <c r="I49" s="29">
        <v>461885</v>
      </c>
      <c r="J49" s="29">
        <v>594726</v>
      </c>
      <c r="K49" s="29">
        <v>674914</v>
      </c>
      <c r="L49" s="29">
        <v>763779</v>
      </c>
      <c r="M49" s="29">
        <v>600539</v>
      </c>
      <c r="N49" s="29">
        <v>529853</v>
      </c>
      <c r="O49" s="29">
        <v>462193</v>
      </c>
      <c r="P49" s="29">
        <v>456302</v>
      </c>
      <c r="Q49" s="43">
        <v>410600</v>
      </c>
      <c r="R49" s="43">
        <v>351400</v>
      </c>
      <c r="S49" s="43">
        <v>421400</v>
      </c>
    </row>
    <row r="50" spans="1:20">
      <c r="A50" t="e">
        <f>#REF!+1</f>
        <v>#REF!</v>
      </c>
      <c r="B50" t="s">
        <v>203</v>
      </c>
      <c r="C50" s="43">
        <v>4845524</v>
      </c>
      <c r="D50" s="43">
        <v>4845524</v>
      </c>
      <c r="E50" s="43">
        <v>4793024</v>
      </c>
      <c r="F50" s="150">
        <v>4394479</v>
      </c>
      <c r="G50" s="29">
        <v>4182720</v>
      </c>
      <c r="H50" s="29">
        <v>2417190</v>
      </c>
      <c r="I50" s="29">
        <v>2249437</v>
      </c>
      <c r="J50" s="29">
        <v>2314596</v>
      </c>
      <c r="K50" s="29">
        <v>2218398</v>
      </c>
      <c r="L50" s="29">
        <v>2282612</v>
      </c>
      <c r="M50" s="29">
        <v>2170272</v>
      </c>
      <c r="N50" s="29">
        <v>1522803</v>
      </c>
      <c r="O50" s="29">
        <v>1489850</v>
      </c>
      <c r="P50" s="29">
        <v>1510252</v>
      </c>
      <c r="Q50" s="43">
        <v>1564700</v>
      </c>
      <c r="R50" s="43">
        <v>1700700</v>
      </c>
      <c r="S50" s="43">
        <v>1692500</v>
      </c>
      <c r="T50" s="43"/>
    </row>
    <row r="51" spans="1:20">
      <c r="A51" t="e">
        <f t="shared" si="6"/>
        <v>#REF!</v>
      </c>
      <c r="B51" s="24" t="s">
        <v>670</v>
      </c>
      <c r="C51" s="52">
        <v>418571</v>
      </c>
      <c r="D51" s="52">
        <v>418571</v>
      </c>
      <c r="E51" s="43">
        <v>429429</v>
      </c>
      <c r="F51" s="43">
        <v>394092</v>
      </c>
      <c r="G51" s="43">
        <v>346041</v>
      </c>
      <c r="H51" s="29">
        <v>374132</v>
      </c>
      <c r="I51" s="29">
        <v>643059</v>
      </c>
      <c r="J51" s="29">
        <v>650099</v>
      </c>
      <c r="K51" s="29">
        <v>677845</v>
      </c>
      <c r="L51" s="29">
        <v>762087</v>
      </c>
      <c r="M51" s="29">
        <v>811498</v>
      </c>
      <c r="N51" s="29">
        <v>792871</v>
      </c>
      <c r="O51" s="29">
        <v>800609</v>
      </c>
      <c r="P51" s="29">
        <v>849599</v>
      </c>
      <c r="Q51" s="43">
        <v>811500</v>
      </c>
      <c r="R51" s="43">
        <v>761300</v>
      </c>
      <c r="S51" s="43">
        <v>824900</v>
      </c>
      <c r="T51" s="43"/>
    </row>
    <row r="52" spans="1:20">
      <c r="A52" t="e">
        <f t="shared" si="6"/>
        <v>#REF!</v>
      </c>
      <c r="B52" t="s">
        <v>1029</v>
      </c>
      <c r="C52">
        <v>12877889</v>
      </c>
      <c r="D52">
        <v>12877889</v>
      </c>
      <c r="E52" s="43">
        <v>12650482</v>
      </c>
      <c r="F52" s="43">
        <v>12410424</v>
      </c>
      <c r="G52" s="43">
        <v>12535873</v>
      </c>
      <c r="H52" s="29">
        <v>10504320</v>
      </c>
      <c r="I52" s="29">
        <v>10265820</v>
      </c>
      <c r="J52" s="29">
        <v>8300317</v>
      </c>
      <c r="K52" s="29">
        <v>8514360</v>
      </c>
      <c r="L52" s="29">
        <v>8464388</v>
      </c>
      <c r="M52" s="29">
        <v>7471162</v>
      </c>
      <c r="N52" s="29">
        <v>6641226</v>
      </c>
      <c r="O52" s="29">
        <v>6367090</v>
      </c>
      <c r="P52" s="29">
        <v>3203767</v>
      </c>
      <c r="Q52" s="43">
        <v>2472100</v>
      </c>
      <c r="R52" s="43">
        <v>2592900</v>
      </c>
      <c r="S52" s="43">
        <v>1915300</v>
      </c>
      <c r="T52" s="43"/>
    </row>
    <row r="53" spans="1:20">
      <c r="A53" t="e">
        <f t="shared" si="6"/>
        <v>#REF!</v>
      </c>
      <c r="B53" t="s">
        <v>204</v>
      </c>
      <c r="C53">
        <v>24700</v>
      </c>
      <c r="D53">
        <v>24700</v>
      </c>
      <c r="E53" s="43">
        <v>11454</v>
      </c>
      <c r="F53" s="43">
        <v>24839</v>
      </c>
      <c r="G53" s="43">
        <v>46914</v>
      </c>
      <c r="H53" s="29">
        <v>45991</v>
      </c>
      <c r="I53" s="29">
        <v>45587</v>
      </c>
      <c r="J53" s="29">
        <v>30030</v>
      </c>
      <c r="K53" s="29">
        <v>35364</v>
      </c>
      <c r="L53" s="29">
        <v>49212</v>
      </c>
      <c r="M53" s="29">
        <v>0</v>
      </c>
      <c r="N53" s="29">
        <v>46852</v>
      </c>
      <c r="O53" s="29">
        <v>0</v>
      </c>
      <c r="P53" s="29">
        <v>0</v>
      </c>
    </row>
    <row r="54" spans="1:20" ht="15">
      <c r="A54" t="e">
        <f t="shared" si="6"/>
        <v>#REF!</v>
      </c>
      <c r="B54" t="s">
        <v>205</v>
      </c>
      <c r="C54">
        <v>1274492</v>
      </c>
      <c r="D54">
        <v>1274492</v>
      </c>
      <c r="E54" s="43">
        <v>1262258</v>
      </c>
      <c r="F54" s="43">
        <v>1222168</v>
      </c>
      <c r="G54" s="43">
        <v>1260704</v>
      </c>
      <c r="H54" s="29">
        <v>945684</v>
      </c>
      <c r="I54" s="29">
        <v>1092428</v>
      </c>
      <c r="J54" s="29">
        <v>919345</v>
      </c>
      <c r="K54" s="29">
        <v>974775</v>
      </c>
      <c r="L54" s="29">
        <v>998953</v>
      </c>
      <c r="M54" s="29">
        <v>659831</v>
      </c>
      <c r="N54" s="29">
        <v>836025</v>
      </c>
      <c r="O54" s="29">
        <v>878292</v>
      </c>
      <c r="P54" s="29">
        <v>536637</v>
      </c>
      <c r="Q54" s="43">
        <v>666100</v>
      </c>
      <c r="R54" s="43">
        <v>505900</v>
      </c>
      <c r="S54" s="43">
        <v>210200</v>
      </c>
      <c r="T54" s="61"/>
    </row>
    <row r="55" spans="1:20">
      <c r="A55" t="e">
        <f t="shared" si="6"/>
        <v>#REF!</v>
      </c>
      <c r="B55" t="s">
        <v>206</v>
      </c>
      <c r="C55">
        <v>652134</v>
      </c>
      <c r="D55">
        <v>652134</v>
      </c>
      <c r="E55" s="43">
        <v>645294</v>
      </c>
      <c r="F55" s="43">
        <v>605413</v>
      </c>
      <c r="G55" s="43">
        <v>592934</v>
      </c>
      <c r="H55" s="29">
        <v>410903</v>
      </c>
      <c r="I55" s="29">
        <v>408937</v>
      </c>
      <c r="J55" s="29">
        <v>294428</v>
      </c>
      <c r="K55" s="29">
        <v>290334</v>
      </c>
      <c r="L55" s="29">
        <v>289251</v>
      </c>
      <c r="M55" s="29">
        <v>286874</v>
      </c>
      <c r="N55" s="29">
        <v>235721</v>
      </c>
      <c r="O55" s="29">
        <v>240896</v>
      </c>
      <c r="P55" s="29">
        <v>297712</v>
      </c>
      <c r="Q55" s="43">
        <v>323600</v>
      </c>
      <c r="R55" s="43">
        <v>0</v>
      </c>
      <c r="S55" s="43">
        <v>0</v>
      </c>
      <c r="T55" s="43"/>
    </row>
    <row r="56" spans="1:20">
      <c r="B56" s="24" t="s">
        <v>681</v>
      </c>
      <c r="C56" s="24"/>
      <c r="D56" s="24"/>
      <c r="F56" s="29"/>
      <c r="G56" s="29"/>
      <c r="H56" s="29"/>
      <c r="I56" s="29"/>
      <c r="J56" s="29"/>
      <c r="K56" s="29"/>
      <c r="L56" s="29"/>
      <c r="M56" s="29"/>
      <c r="N56" s="29">
        <v>0</v>
      </c>
      <c r="O56" s="29">
        <v>0</v>
      </c>
      <c r="P56" s="29">
        <v>494573</v>
      </c>
      <c r="Q56" s="43">
        <v>489500</v>
      </c>
      <c r="R56" s="43">
        <v>3707000</v>
      </c>
      <c r="S56" s="43">
        <v>3316100</v>
      </c>
      <c r="T56" s="43"/>
    </row>
    <row r="57" spans="1:20">
      <c r="A57" t="e">
        <f>A55+1</f>
        <v>#REF!</v>
      </c>
      <c r="B57" s="24" t="s">
        <v>1032</v>
      </c>
      <c r="C57" s="43">
        <v>3713718</v>
      </c>
      <c r="D57" s="43">
        <v>3713718</v>
      </c>
      <c r="E57" s="43">
        <v>5468024</v>
      </c>
      <c r="F57" s="150">
        <v>5076304</v>
      </c>
      <c r="G57" s="29">
        <v>5003404</v>
      </c>
      <c r="H57" s="29">
        <v>2488138</v>
      </c>
      <c r="I57" s="29">
        <v>1779125</v>
      </c>
      <c r="J57" s="29">
        <v>0</v>
      </c>
      <c r="K57" s="55" t="s">
        <v>4</v>
      </c>
      <c r="L57" s="55" t="s">
        <v>4</v>
      </c>
      <c r="M57" s="55" t="s">
        <v>4</v>
      </c>
      <c r="N57">
        <v>0</v>
      </c>
      <c r="O57">
        <v>0</v>
      </c>
      <c r="P57">
        <v>0</v>
      </c>
    </row>
    <row r="58" spans="1:20">
      <c r="A58" t="e">
        <f t="shared" si="6"/>
        <v>#REF!</v>
      </c>
      <c r="B58" t="s">
        <v>1030</v>
      </c>
      <c r="E58" s="29">
        <v>0</v>
      </c>
      <c r="F58" s="29">
        <v>0</v>
      </c>
      <c r="G58" s="29">
        <v>0</v>
      </c>
      <c r="H58" s="29">
        <v>2620191</v>
      </c>
      <c r="I58" s="29">
        <v>0</v>
      </c>
      <c r="J58" s="29">
        <v>0</v>
      </c>
      <c r="N58" s="29">
        <v>0</v>
      </c>
      <c r="O58" s="29">
        <v>0</v>
      </c>
      <c r="P58" s="29">
        <v>0</v>
      </c>
    </row>
    <row r="59" spans="1:20">
      <c r="A59" t="e">
        <f t="shared" si="6"/>
        <v>#REF!</v>
      </c>
      <c r="B59" s="23" t="s">
        <v>660</v>
      </c>
      <c r="C59" s="53">
        <f t="shared" ref="C59:T59" si="23">SUBTOTAL(9,C60:C84)</f>
        <v>42219310</v>
      </c>
      <c r="D59" s="53">
        <f t="shared" si="23"/>
        <v>42219310</v>
      </c>
      <c r="E59" s="53">
        <f t="shared" si="23"/>
        <v>41802896</v>
      </c>
      <c r="F59" s="53">
        <f t="shared" si="23"/>
        <v>44692417</v>
      </c>
      <c r="G59" s="53">
        <f t="shared" si="23"/>
        <v>42892996</v>
      </c>
      <c r="H59" s="53">
        <f t="shared" si="23"/>
        <v>64388132</v>
      </c>
      <c r="I59" s="53">
        <f t="shared" si="23"/>
        <v>76651736</v>
      </c>
      <c r="J59" s="53">
        <f t="shared" si="23"/>
        <v>87827701</v>
      </c>
      <c r="K59" s="53">
        <f t="shared" si="23"/>
        <v>46171524</v>
      </c>
      <c r="L59" s="53">
        <f t="shared" si="23"/>
        <v>39565177</v>
      </c>
      <c r="M59" s="53">
        <f t="shared" si="23"/>
        <v>42876393</v>
      </c>
      <c r="N59" s="53">
        <f t="shared" si="23"/>
        <v>36465505</v>
      </c>
      <c r="O59" s="53">
        <f t="shared" si="23"/>
        <v>41480527</v>
      </c>
      <c r="P59" s="53">
        <f t="shared" si="23"/>
        <v>36872769</v>
      </c>
      <c r="Q59" s="53">
        <f t="shared" si="23"/>
        <v>34644000</v>
      </c>
      <c r="R59" s="53">
        <f t="shared" si="23"/>
        <v>31562700</v>
      </c>
      <c r="S59" s="53">
        <f t="shared" si="23"/>
        <v>28247300</v>
      </c>
      <c r="T59" s="53">
        <f t="shared" si="23"/>
        <v>23834921</v>
      </c>
    </row>
    <row r="60" spans="1:20">
      <c r="A60" t="e">
        <f t="shared" si="6"/>
        <v>#REF!</v>
      </c>
      <c r="B60" s="23" t="s">
        <v>208</v>
      </c>
      <c r="C60" s="53">
        <f t="shared" ref="C60:T60" si="24">SUBTOTAL(9,C61:C63)</f>
        <v>3248131</v>
      </c>
      <c r="D60" s="53">
        <f t="shared" si="24"/>
        <v>3248131</v>
      </c>
      <c r="E60" s="53">
        <f t="shared" si="24"/>
        <v>2725871</v>
      </c>
      <c r="F60" s="53">
        <f t="shared" si="24"/>
        <v>2502707</v>
      </c>
      <c r="G60" s="53">
        <f t="shared" si="24"/>
        <v>3669090</v>
      </c>
      <c r="H60" s="53">
        <f t="shared" si="24"/>
        <v>3893322</v>
      </c>
      <c r="I60" s="53">
        <f t="shared" si="24"/>
        <v>4468447</v>
      </c>
      <c r="J60" s="53">
        <f t="shared" si="24"/>
        <v>4159466</v>
      </c>
      <c r="K60" s="53">
        <f t="shared" si="24"/>
        <v>4533029</v>
      </c>
      <c r="L60" s="53">
        <f t="shared" si="24"/>
        <v>3939992</v>
      </c>
      <c r="M60" s="53">
        <f t="shared" si="24"/>
        <v>7106840</v>
      </c>
      <c r="N60" s="53">
        <f t="shared" si="24"/>
        <v>586814</v>
      </c>
      <c r="O60" s="53">
        <f t="shared" si="24"/>
        <v>4021127</v>
      </c>
      <c r="P60" s="53">
        <f t="shared" si="24"/>
        <v>4172237</v>
      </c>
      <c r="Q60" s="53">
        <f t="shared" si="24"/>
        <v>3658200</v>
      </c>
      <c r="R60" s="53">
        <f t="shared" si="24"/>
        <v>3528700</v>
      </c>
      <c r="S60" s="53">
        <f t="shared" si="24"/>
        <v>3350400</v>
      </c>
      <c r="T60" s="53">
        <f t="shared" si="24"/>
        <v>2300000</v>
      </c>
    </row>
    <row r="61" spans="1:20" ht="15">
      <c r="A61" t="e">
        <f t="shared" si="6"/>
        <v>#REF!</v>
      </c>
      <c r="B61" t="s">
        <v>209</v>
      </c>
      <c r="C61">
        <v>2998131</v>
      </c>
      <c r="D61">
        <v>2998131</v>
      </c>
      <c r="E61" s="43">
        <v>2521640</v>
      </c>
      <c r="F61" s="43">
        <v>2310769</v>
      </c>
      <c r="G61" s="43">
        <v>3430125</v>
      </c>
      <c r="H61" s="29">
        <v>3593358</v>
      </c>
      <c r="I61" s="29">
        <v>4203656</v>
      </c>
      <c r="J61" s="29">
        <v>3702872</v>
      </c>
      <c r="K61" s="43">
        <v>4207198</v>
      </c>
      <c r="L61" s="43">
        <v>3939992</v>
      </c>
      <c r="M61" s="43">
        <v>6108612</v>
      </c>
      <c r="N61" s="43">
        <v>0</v>
      </c>
      <c r="O61" s="43">
        <v>3482171</v>
      </c>
      <c r="P61" s="43">
        <v>3666761</v>
      </c>
      <c r="Q61" s="43">
        <v>3658200</v>
      </c>
      <c r="R61" s="43">
        <v>3528700</v>
      </c>
      <c r="S61" s="43">
        <v>3350400</v>
      </c>
      <c r="T61" s="60">
        <v>2300000</v>
      </c>
    </row>
    <row r="62" spans="1:20">
      <c r="A62" t="e">
        <f t="shared" si="6"/>
        <v>#REF!</v>
      </c>
      <c r="B62" t="s">
        <v>210</v>
      </c>
      <c r="C62">
        <v>250000</v>
      </c>
      <c r="D62">
        <v>250000</v>
      </c>
      <c r="E62" s="43">
        <v>204231</v>
      </c>
      <c r="F62" s="43">
        <v>191938</v>
      </c>
      <c r="G62" s="43">
        <v>238965</v>
      </c>
      <c r="H62" s="29">
        <v>299964</v>
      </c>
      <c r="I62" s="29">
        <v>264791</v>
      </c>
      <c r="J62" s="29">
        <v>456594</v>
      </c>
      <c r="K62">
        <v>325831</v>
      </c>
      <c r="L62" t="s">
        <v>4</v>
      </c>
      <c r="M62">
        <v>507420</v>
      </c>
      <c r="N62" s="43">
        <v>586814</v>
      </c>
      <c r="O62" s="43">
        <v>538956</v>
      </c>
      <c r="P62" s="43">
        <v>505476</v>
      </c>
    </row>
    <row r="63" spans="1:20">
      <c r="B63" s="24" t="s">
        <v>672</v>
      </c>
      <c r="C63" s="24"/>
      <c r="D63" s="24"/>
      <c r="F63" s="29"/>
      <c r="G63" s="29"/>
      <c r="I63" t="s">
        <v>4</v>
      </c>
      <c r="J63" t="s">
        <v>4</v>
      </c>
      <c r="K63" t="s">
        <v>4</v>
      </c>
      <c r="L63" t="s">
        <v>4</v>
      </c>
      <c r="M63">
        <v>490808</v>
      </c>
      <c r="N63" s="43">
        <v>0</v>
      </c>
      <c r="O63" s="43">
        <v>0</v>
      </c>
      <c r="P63" s="43">
        <v>0</v>
      </c>
      <c r="T63" s="59"/>
    </row>
    <row r="64" spans="1:20">
      <c r="A64" t="e">
        <f>A62+1</f>
        <v>#REF!</v>
      </c>
      <c r="B64" s="23" t="s">
        <v>211</v>
      </c>
      <c r="C64" s="53">
        <f t="shared" ref="C64:T64" si="25">SUBTOTAL(9,C65:C77)</f>
        <v>2429123</v>
      </c>
      <c r="D64" s="53">
        <f t="shared" si="25"/>
        <v>2429123</v>
      </c>
      <c r="E64" s="53">
        <f t="shared" si="25"/>
        <v>2575565</v>
      </c>
      <c r="F64" s="53">
        <f t="shared" si="25"/>
        <v>2461154</v>
      </c>
      <c r="G64" s="53">
        <f t="shared" si="25"/>
        <v>3446847</v>
      </c>
      <c r="H64" s="53">
        <f t="shared" si="25"/>
        <v>23682918</v>
      </c>
      <c r="I64" s="53">
        <f t="shared" si="25"/>
        <v>25691095</v>
      </c>
      <c r="J64" s="53">
        <f t="shared" si="25"/>
        <v>27594197</v>
      </c>
      <c r="K64" s="53">
        <f t="shared" si="25"/>
        <v>3151601</v>
      </c>
      <c r="L64" s="53">
        <f t="shared" si="25"/>
        <v>2751725</v>
      </c>
      <c r="M64" s="53">
        <f t="shared" si="25"/>
        <v>2681908</v>
      </c>
      <c r="N64" s="53">
        <f t="shared" si="25"/>
        <v>3179116</v>
      </c>
      <c r="O64" s="53">
        <f t="shared" si="25"/>
        <v>2789801</v>
      </c>
      <c r="P64" s="53">
        <f t="shared" si="25"/>
        <v>3395486</v>
      </c>
      <c r="Q64" s="53">
        <f t="shared" si="25"/>
        <v>6756800</v>
      </c>
      <c r="R64" s="53">
        <f t="shared" si="25"/>
        <v>6628800</v>
      </c>
      <c r="S64" s="53">
        <f t="shared" si="25"/>
        <v>6247600</v>
      </c>
      <c r="T64" s="53">
        <f t="shared" si="25"/>
        <v>7000857</v>
      </c>
    </row>
    <row r="65" spans="1:20">
      <c r="A65" t="e">
        <f t="shared" si="6"/>
        <v>#REF!</v>
      </c>
      <c r="B65" t="s">
        <v>1031</v>
      </c>
      <c r="C65">
        <v>0</v>
      </c>
      <c r="D65">
        <v>0</v>
      </c>
      <c r="E65" s="43">
        <v>0</v>
      </c>
      <c r="F65" s="43">
        <v>0</v>
      </c>
      <c r="G65" s="43">
        <v>407713</v>
      </c>
      <c r="H65" s="29">
        <v>21259597</v>
      </c>
      <c r="I65" s="29">
        <v>0</v>
      </c>
      <c r="J65" s="43">
        <v>0</v>
      </c>
      <c r="K65" s="43">
        <v>0</v>
      </c>
      <c r="L65" s="43">
        <v>0</v>
      </c>
      <c r="M65" s="43">
        <v>0</v>
      </c>
      <c r="N65" s="43">
        <v>0</v>
      </c>
      <c r="O65" s="43">
        <v>0</v>
      </c>
      <c r="P65" s="43">
        <v>163502</v>
      </c>
    </row>
    <row r="66" spans="1:20">
      <c r="A66" t="e">
        <f t="shared" si="6"/>
        <v>#REF!</v>
      </c>
      <c r="B66" t="s">
        <v>212</v>
      </c>
      <c r="E66" s="43"/>
      <c r="F66" s="43"/>
      <c r="G66" s="43">
        <v>0</v>
      </c>
      <c r="H66" s="29">
        <v>0</v>
      </c>
      <c r="I66" s="29">
        <v>21736548</v>
      </c>
      <c r="J66" s="29">
        <v>23498306</v>
      </c>
      <c r="K66" t="s">
        <v>4</v>
      </c>
      <c r="L66">
        <v>0</v>
      </c>
      <c r="M66" t="s">
        <v>4</v>
      </c>
      <c r="N66" t="s">
        <v>4</v>
      </c>
      <c r="O66" t="s">
        <v>4</v>
      </c>
      <c r="P66" t="s">
        <v>4</v>
      </c>
    </row>
    <row r="67" spans="1:20">
      <c r="A67" t="e">
        <f t="shared" si="6"/>
        <v>#REF!</v>
      </c>
      <c r="B67" t="s">
        <v>213</v>
      </c>
      <c r="E67" s="43">
        <v>0</v>
      </c>
      <c r="F67" s="43">
        <v>0</v>
      </c>
      <c r="G67" s="43">
        <v>0</v>
      </c>
      <c r="H67" s="29">
        <v>894</v>
      </c>
      <c r="I67" s="29">
        <v>615950</v>
      </c>
      <c r="J67" s="29">
        <v>616844</v>
      </c>
      <c r="K67" t="s">
        <v>4</v>
      </c>
      <c r="L67" t="s">
        <v>4</v>
      </c>
      <c r="M67" t="s">
        <v>4</v>
      </c>
      <c r="N67" t="s">
        <v>4</v>
      </c>
      <c r="O67" t="s">
        <v>4</v>
      </c>
      <c r="P67" t="s">
        <v>4</v>
      </c>
    </row>
    <row r="68" spans="1:20">
      <c r="A68" t="e">
        <f t="shared" si="6"/>
        <v>#REF!</v>
      </c>
      <c r="B68" s="24" t="s">
        <v>688</v>
      </c>
      <c r="C68" s="24"/>
      <c r="D68" s="24"/>
      <c r="E68" s="43">
        <v>0</v>
      </c>
      <c r="F68" s="43">
        <v>0</v>
      </c>
      <c r="G68" s="43">
        <v>0</v>
      </c>
      <c r="H68" s="29">
        <v>2287</v>
      </c>
      <c r="I68" s="29">
        <v>72280</v>
      </c>
      <c r="J68" s="29">
        <v>69137</v>
      </c>
      <c r="K68" s="43">
        <v>71918</v>
      </c>
      <c r="L68" s="43">
        <v>63591</v>
      </c>
      <c r="M68" s="43">
        <v>63586</v>
      </c>
      <c r="N68" s="43">
        <v>37237</v>
      </c>
      <c r="O68" s="43">
        <v>0</v>
      </c>
      <c r="P68" s="43">
        <v>0</v>
      </c>
      <c r="S68" s="43"/>
      <c r="T68" s="43"/>
    </row>
    <row r="69" spans="1:20" ht="15">
      <c r="A69" t="e">
        <f t="shared" si="6"/>
        <v>#REF!</v>
      </c>
      <c r="B69" t="s">
        <v>214</v>
      </c>
      <c r="C69">
        <v>0</v>
      </c>
      <c r="D69">
        <v>0</v>
      </c>
      <c r="E69" s="43">
        <v>313937</v>
      </c>
      <c r="F69" s="43">
        <v>47916</v>
      </c>
      <c r="G69" s="43">
        <v>99218</v>
      </c>
      <c r="H69" s="29">
        <v>40200</v>
      </c>
      <c r="I69" s="29">
        <v>124783</v>
      </c>
      <c r="J69" s="29">
        <v>176814</v>
      </c>
      <c r="K69" s="43" t="s">
        <v>4</v>
      </c>
      <c r="L69" s="43">
        <v>53848</v>
      </c>
      <c r="M69" s="43">
        <v>43839</v>
      </c>
      <c r="N69" s="43">
        <v>176021</v>
      </c>
      <c r="O69" s="43">
        <v>10400</v>
      </c>
      <c r="P69" s="43">
        <v>82244</v>
      </c>
      <c r="Q69" s="43">
        <v>4184000</v>
      </c>
      <c r="R69" s="43">
        <v>4178899.9999999995</v>
      </c>
      <c r="S69" s="43">
        <v>4153700</v>
      </c>
      <c r="T69" s="61">
        <v>6690857</v>
      </c>
    </row>
    <row r="70" spans="1:20" ht="15">
      <c r="A70" t="e">
        <f t="shared" si="6"/>
        <v>#REF!</v>
      </c>
      <c r="B70" s="24" t="s">
        <v>690</v>
      </c>
      <c r="C70" s="52">
        <v>730708</v>
      </c>
      <c r="D70" s="52">
        <v>730708</v>
      </c>
      <c r="E70" s="43">
        <v>710665</v>
      </c>
      <c r="F70" s="43">
        <v>745047</v>
      </c>
      <c r="G70" s="43">
        <v>825849</v>
      </c>
      <c r="H70" s="29">
        <v>744776</v>
      </c>
      <c r="I70" s="29">
        <v>783132</v>
      </c>
      <c r="J70" s="29">
        <v>791166</v>
      </c>
      <c r="K70" s="43">
        <v>1702294</v>
      </c>
      <c r="L70" s="43">
        <v>801489</v>
      </c>
      <c r="M70" s="43">
        <v>742435</v>
      </c>
      <c r="N70" s="43">
        <v>1020447</v>
      </c>
      <c r="O70" s="43">
        <v>896143</v>
      </c>
      <c r="P70" s="43">
        <v>945537</v>
      </c>
      <c r="Q70" s="43">
        <v>418200</v>
      </c>
      <c r="R70" s="43">
        <v>553600</v>
      </c>
      <c r="S70" s="43">
        <v>375400</v>
      </c>
      <c r="T70" s="61">
        <v>310000</v>
      </c>
    </row>
    <row r="71" spans="1:20" ht="15">
      <c r="A71" t="e">
        <f t="shared" si="6"/>
        <v>#REF!</v>
      </c>
      <c r="B71" t="s">
        <v>215</v>
      </c>
      <c r="C71">
        <v>82000</v>
      </c>
      <c r="D71">
        <v>82000</v>
      </c>
      <c r="E71" s="43">
        <v>78936</v>
      </c>
      <c r="F71" s="43">
        <v>80684</v>
      </c>
      <c r="G71" s="43">
        <v>79179</v>
      </c>
      <c r="H71" s="29">
        <v>76570</v>
      </c>
      <c r="I71" s="29">
        <v>76803</v>
      </c>
      <c r="J71" s="29">
        <v>83004</v>
      </c>
      <c r="K71" s="43">
        <v>82420</v>
      </c>
      <c r="L71" s="43">
        <v>96747</v>
      </c>
      <c r="M71" s="43">
        <v>153419</v>
      </c>
      <c r="N71" s="43">
        <v>122951</v>
      </c>
      <c r="O71" s="43">
        <v>138004</v>
      </c>
      <c r="P71" s="43">
        <v>136507</v>
      </c>
      <c r="S71" s="43"/>
      <c r="T71" s="61"/>
    </row>
    <row r="72" spans="1:20">
      <c r="A72" t="e">
        <f t="shared" si="6"/>
        <v>#REF!</v>
      </c>
      <c r="B72" t="s">
        <v>207</v>
      </c>
      <c r="C72">
        <v>0</v>
      </c>
      <c r="D72">
        <v>0</v>
      </c>
      <c r="E72" s="43">
        <v>72006</v>
      </c>
      <c r="F72" s="43">
        <v>37099</v>
      </c>
      <c r="G72" s="43">
        <v>490297</v>
      </c>
      <c r="H72" s="29">
        <v>114934</v>
      </c>
      <c r="I72" s="29">
        <v>823287</v>
      </c>
      <c r="J72" s="29">
        <v>616406</v>
      </c>
      <c r="K72" s="43">
        <v>74100</v>
      </c>
      <c r="L72" s="43">
        <v>52538</v>
      </c>
      <c r="M72" s="43">
        <v>160000</v>
      </c>
      <c r="N72" s="43">
        <v>18497</v>
      </c>
      <c r="O72" s="43">
        <v>18362</v>
      </c>
      <c r="P72" s="43">
        <v>231295</v>
      </c>
      <c r="S72" s="43"/>
      <c r="T72" s="43"/>
    </row>
    <row r="73" spans="1:20">
      <c r="B73" s="24" t="s">
        <v>682</v>
      </c>
      <c r="C73" s="24"/>
      <c r="D73" s="24"/>
      <c r="E73" s="43"/>
      <c r="F73" s="43"/>
      <c r="G73" s="43"/>
      <c r="H73" s="29"/>
      <c r="I73" s="29"/>
      <c r="J73" s="29"/>
      <c r="K73" s="43"/>
      <c r="L73" s="43"/>
      <c r="M73" s="43"/>
      <c r="N73" s="43">
        <v>309783</v>
      </c>
      <c r="O73" s="43">
        <v>0</v>
      </c>
      <c r="P73" s="43">
        <v>305085</v>
      </c>
      <c r="S73" s="43"/>
      <c r="T73" s="43"/>
    </row>
    <row r="74" spans="1:20">
      <c r="A74" t="e">
        <f>A72+1</f>
        <v>#REF!</v>
      </c>
      <c r="B74" t="s">
        <v>216</v>
      </c>
      <c r="C74">
        <v>37630</v>
      </c>
      <c r="D74">
        <v>37630</v>
      </c>
      <c r="E74" s="43">
        <v>0</v>
      </c>
      <c r="F74" s="43">
        <v>25540</v>
      </c>
      <c r="G74" s="43">
        <v>0</v>
      </c>
      <c r="H74" s="29">
        <v>31449</v>
      </c>
      <c r="I74" s="29">
        <v>34277</v>
      </c>
      <c r="J74" s="29">
        <v>25680</v>
      </c>
      <c r="K74" s="43">
        <v>24374</v>
      </c>
      <c r="L74" s="43">
        <v>37630</v>
      </c>
      <c r="M74" s="43">
        <v>18140</v>
      </c>
      <c r="N74" s="43">
        <v>14257</v>
      </c>
      <c r="O74" s="43">
        <v>132163</v>
      </c>
      <c r="P74" s="43">
        <v>9723</v>
      </c>
      <c r="S74" s="43"/>
      <c r="T74" s="43"/>
    </row>
    <row r="75" spans="1:20">
      <c r="A75" t="e">
        <f t="shared" si="6"/>
        <v>#REF!</v>
      </c>
      <c r="B75" t="s">
        <v>217</v>
      </c>
      <c r="C75">
        <v>1578785</v>
      </c>
      <c r="D75">
        <v>1578785</v>
      </c>
      <c r="E75" s="43">
        <v>1400021</v>
      </c>
      <c r="F75" s="43">
        <v>1524868</v>
      </c>
      <c r="G75" s="43">
        <v>1544591</v>
      </c>
      <c r="H75" s="29">
        <v>1412211</v>
      </c>
      <c r="I75" s="29">
        <v>1424035</v>
      </c>
      <c r="J75" s="29">
        <v>1716840</v>
      </c>
      <c r="K75" s="43">
        <v>1196495</v>
      </c>
      <c r="L75" s="43">
        <v>1645882</v>
      </c>
      <c r="M75" s="43">
        <v>1500489</v>
      </c>
      <c r="N75" s="43">
        <v>1453569</v>
      </c>
      <c r="O75" s="43">
        <v>1477825</v>
      </c>
      <c r="P75" s="43">
        <v>1420786</v>
      </c>
    </row>
    <row r="76" spans="1:20">
      <c r="B76" s="24" t="s">
        <v>683</v>
      </c>
      <c r="C76" s="24"/>
      <c r="D76" s="24"/>
      <c r="E76" s="43"/>
      <c r="F76" s="43"/>
      <c r="G76" s="43"/>
      <c r="H76" s="29"/>
      <c r="I76" s="29"/>
      <c r="J76" s="29"/>
      <c r="K76" s="43"/>
      <c r="L76" s="43"/>
      <c r="M76" s="43"/>
      <c r="N76" s="43">
        <v>26354</v>
      </c>
      <c r="O76" s="43">
        <v>116904</v>
      </c>
      <c r="P76" s="43">
        <v>100807</v>
      </c>
      <c r="Q76" s="43">
        <v>0</v>
      </c>
      <c r="R76" s="43">
        <v>75700</v>
      </c>
      <c r="S76" s="43">
        <v>46200</v>
      </c>
    </row>
    <row r="77" spans="1:20">
      <c r="B77" s="24" t="s">
        <v>689</v>
      </c>
      <c r="C77" s="24"/>
      <c r="D77" s="24"/>
      <c r="E77" s="43"/>
      <c r="F77" s="43"/>
      <c r="G77" s="43"/>
      <c r="H77" s="29"/>
      <c r="I77" s="29"/>
      <c r="J77" s="29"/>
      <c r="K77" s="43"/>
      <c r="L77" s="43"/>
      <c r="M77" s="43"/>
      <c r="N77" s="43"/>
      <c r="O77" s="43"/>
      <c r="P77" s="43"/>
      <c r="Q77" s="43">
        <v>2154600</v>
      </c>
      <c r="R77" s="43">
        <v>1820600</v>
      </c>
      <c r="S77" s="43">
        <v>1672300</v>
      </c>
    </row>
    <row r="78" spans="1:20">
      <c r="A78" t="e">
        <f>A75+1</f>
        <v>#REF!</v>
      </c>
      <c r="B78" s="23" t="s">
        <v>218</v>
      </c>
      <c r="C78" s="53">
        <f t="shared" ref="C78:H78" si="26">SUBTOTAL(9,C79:C79)</f>
        <v>2500000</v>
      </c>
      <c r="D78" s="53">
        <f t="shared" si="26"/>
        <v>2500000</v>
      </c>
      <c r="E78" s="53">
        <f t="shared" si="26"/>
        <v>1941223</v>
      </c>
      <c r="F78" s="53">
        <f t="shared" si="26"/>
        <v>2165685</v>
      </c>
      <c r="G78" s="53">
        <f t="shared" si="26"/>
        <v>2347472</v>
      </c>
      <c r="H78" s="53">
        <f t="shared" si="26"/>
        <v>2515417</v>
      </c>
      <c r="I78" s="53">
        <f t="shared" ref="I78" si="27">SUBTOTAL(9,I79:I79)</f>
        <v>2547335</v>
      </c>
      <c r="J78" s="53">
        <f t="shared" ref="J78:T78" si="28">SUBTOTAL(9,J79:J79)</f>
        <v>3752670</v>
      </c>
      <c r="K78" s="53">
        <f t="shared" si="28"/>
        <v>4546884</v>
      </c>
      <c r="L78" s="53">
        <f t="shared" si="28"/>
        <v>3106013</v>
      </c>
      <c r="M78" s="53">
        <f t="shared" si="28"/>
        <v>4074267</v>
      </c>
      <c r="N78" s="53">
        <f t="shared" si="28"/>
        <v>4324857</v>
      </c>
      <c r="O78" s="53">
        <f t="shared" si="28"/>
        <v>4279474</v>
      </c>
      <c r="P78" s="53">
        <f t="shared" si="28"/>
        <v>4200000</v>
      </c>
      <c r="Q78" s="53">
        <f t="shared" si="28"/>
        <v>3197800</v>
      </c>
      <c r="R78" s="53">
        <f t="shared" si="28"/>
        <v>3489200</v>
      </c>
      <c r="S78" s="53">
        <f t="shared" si="28"/>
        <v>2701500</v>
      </c>
      <c r="T78" s="53">
        <f t="shared" si="28"/>
        <v>0</v>
      </c>
    </row>
    <row r="79" spans="1:20">
      <c r="A79" t="e">
        <f t="shared" si="6"/>
        <v>#REF!</v>
      </c>
      <c r="B79" s="24" t="s">
        <v>691</v>
      </c>
      <c r="C79" s="43">
        <v>2500000</v>
      </c>
      <c r="D79" s="43">
        <v>2500000</v>
      </c>
      <c r="E79" s="43">
        <v>1941223</v>
      </c>
      <c r="F79" s="43">
        <v>2165685</v>
      </c>
      <c r="G79" s="43">
        <v>2347472</v>
      </c>
      <c r="H79" s="29">
        <v>2515417</v>
      </c>
      <c r="I79" s="29">
        <v>2547335</v>
      </c>
      <c r="J79" s="29">
        <v>3752670</v>
      </c>
      <c r="K79" s="43">
        <v>4546884</v>
      </c>
      <c r="L79" s="43">
        <v>3106013</v>
      </c>
      <c r="M79" s="43">
        <v>4074267</v>
      </c>
      <c r="N79" s="43">
        <v>4324857</v>
      </c>
      <c r="O79" s="43">
        <v>4279474</v>
      </c>
      <c r="P79" s="43">
        <v>4200000</v>
      </c>
      <c r="Q79" s="43">
        <v>3197800</v>
      </c>
      <c r="R79" s="43">
        <v>3489200</v>
      </c>
      <c r="S79" s="43">
        <v>2701500</v>
      </c>
      <c r="T79" s="43"/>
    </row>
    <row r="80" spans="1:20">
      <c r="A80" t="e">
        <f t="shared" si="6"/>
        <v>#REF!</v>
      </c>
      <c r="B80" s="23" t="s">
        <v>219</v>
      </c>
      <c r="C80" s="53">
        <f t="shared" ref="C80:T80" si="29">SUBTOTAL(9,C81:C82)</f>
        <v>33523856</v>
      </c>
      <c r="D80" s="53">
        <f t="shared" si="29"/>
        <v>33523856</v>
      </c>
      <c r="E80" s="53">
        <f t="shared" si="29"/>
        <v>34004180</v>
      </c>
      <c r="F80" s="53">
        <f t="shared" si="29"/>
        <v>36997294</v>
      </c>
      <c r="G80" s="53">
        <f t="shared" si="29"/>
        <v>32864041</v>
      </c>
      <c r="H80" s="53">
        <f t="shared" si="29"/>
        <v>33762433</v>
      </c>
      <c r="I80" s="53">
        <f t="shared" si="29"/>
        <v>43466544</v>
      </c>
      <c r="J80" s="53">
        <f t="shared" si="29"/>
        <v>51846293</v>
      </c>
      <c r="K80" s="53">
        <f t="shared" si="29"/>
        <v>33488039</v>
      </c>
      <c r="L80" s="53">
        <f t="shared" si="29"/>
        <v>29340250</v>
      </c>
      <c r="M80" s="53">
        <f t="shared" si="29"/>
        <v>28600533</v>
      </c>
      <c r="N80" s="53">
        <f t="shared" si="29"/>
        <v>27976789</v>
      </c>
      <c r="O80" s="53">
        <f t="shared" si="29"/>
        <v>29972983</v>
      </c>
      <c r="P80" s="53">
        <f t="shared" si="29"/>
        <v>24699663</v>
      </c>
      <c r="Q80" s="53">
        <f t="shared" si="29"/>
        <v>20660700</v>
      </c>
      <c r="R80" s="53">
        <f t="shared" si="29"/>
        <v>17579300</v>
      </c>
      <c r="S80" s="53">
        <f t="shared" si="29"/>
        <v>15645500</v>
      </c>
      <c r="T80" s="53">
        <f t="shared" si="29"/>
        <v>14209433</v>
      </c>
    </row>
    <row r="81" spans="1:20" ht="15">
      <c r="A81" t="e">
        <f t="shared" si="6"/>
        <v>#REF!</v>
      </c>
      <c r="B81" s="24" t="s">
        <v>692</v>
      </c>
      <c r="C81" s="52">
        <v>33523856</v>
      </c>
      <c r="D81" s="52">
        <v>33523856</v>
      </c>
      <c r="E81" s="43">
        <v>34004180</v>
      </c>
      <c r="F81" s="43">
        <v>36997294</v>
      </c>
      <c r="G81" s="43">
        <v>32864041</v>
      </c>
      <c r="H81" s="29">
        <v>32449999</v>
      </c>
      <c r="I81" s="29">
        <v>24153385</v>
      </c>
      <c r="J81" s="29">
        <v>35831311</v>
      </c>
      <c r="K81" s="43">
        <v>33488039</v>
      </c>
      <c r="L81" s="43">
        <v>29340250</v>
      </c>
      <c r="M81" s="43">
        <v>28600533</v>
      </c>
      <c r="N81" s="43">
        <v>27976789</v>
      </c>
      <c r="O81" s="43">
        <v>29972983</v>
      </c>
      <c r="P81" s="43">
        <v>24699663</v>
      </c>
      <c r="Q81" s="43">
        <v>20660700</v>
      </c>
      <c r="R81" s="43">
        <v>17579300</v>
      </c>
      <c r="S81" s="43">
        <v>15645500</v>
      </c>
      <c r="T81" s="61">
        <v>14209433</v>
      </c>
    </row>
    <row r="82" spans="1:20">
      <c r="A82" t="e">
        <f t="shared" si="6"/>
        <v>#REF!</v>
      </c>
      <c r="B82" t="s">
        <v>220</v>
      </c>
      <c r="E82" s="43">
        <v>0</v>
      </c>
      <c r="F82" s="43">
        <v>0</v>
      </c>
      <c r="G82" s="43">
        <v>0</v>
      </c>
      <c r="H82" s="29">
        <v>1312434</v>
      </c>
      <c r="I82" s="29">
        <v>19313159</v>
      </c>
      <c r="J82" s="29">
        <v>16014982</v>
      </c>
      <c r="K82" s="43">
        <v>0</v>
      </c>
      <c r="L82" s="43" t="s">
        <v>4</v>
      </c>
      <c r="M82" s="43" t="s">
        <v>4</v>
      </c>
      <c r="N82" s="43">
        <v>0</v>
      </c>
      <c r="O82" s="43">
        <v>0</v>
      </c>
      <c r="P82" s="43">
        <v>0</v>
      </c>
    </row>
    <row r="83" spans="1:20">
      <c r="A83" t="e">
        <f t="shared" si="6"/>
        <v>#REF!</v>
      </c>
      <c r="B83" s="23" t="s">
        <v>221</v>
      </c>
      <c r="C83" s="53">
        <f t="shared" ref="C83:F83" si="30">SUBTOTAL(9,C84:C84)</f>
        <v>518200</v>
      </c>
      <c r="D83" s="53">
        <f t="shared" si="30"/>
        <v>518200</v>
      </c>
      <c r="E83" s="53">
        <f t="shared" si="30"/>
        <v>556057</v>
      </c>
      <c r="F83" s="53">
        <f t="shared" si="30"/>
        <v>565577</v>
      </c>
      <c r="G83" s="53">
        <f t="shared" ref="G83" si="31">SUBTOTAL(9,G84:G84)</f>
        <v>565546</v>
      </c>
      <c r="H83" s="53">
        <f t="shared" ref="H83" si="32">SUBTOTAL(9,H84:H84)</f>
        <v>534042</v>
      </c>
      <c r="I83" s="53">
        <f t="shared" ref="I83" si="33">SUBTOTAL(9,I84:I84)</f>
        <v>478315</v>
      </c>
      <c r="J83" s="53">
        <f t="shared" ref="J83:T83" si="34">SUBTOTAL(9,J84:J84)</f>
        <v>475075</v>
      </c>
      <c r="K83" s="53">
        <f t="shared" si="34"/>
        <v>451971</v>
      </c>
      <c r="L83" s="53">
        <f t="shared" si="34"/>
        <v>427197</v>
      </c>
      <c r="M83" s="53">
        <f t="shared" si="34"/>
        <v>412845</v>
      </c>
      <c r="N83" s="53">
        <f t="shared" si="34"/>
        <v>397929</v>
      </c>
      <c r="O83" s="53">
        <f t="shared" si="34"/>
        <v>417142</v>
      </c>
      <c r="P83" s="53">
        <f t="shared" si="34"/>
        <v>405383</v>
      </c>
      <c r="Q83" s="53">
        <f t="shared" si="34"/>
        <v>370500</v>
      </c>
      <c r="R83" s="53">
        <f t="shared" si="34"/>
        <v>336700</v>
      </c>
      <c r="S83" s="53">
        <f t="shared" si="34"/>
        <v>302300</v>
      </c>
      <c r="T83" s="53">
        <f t="shared" si="34"/>
        <v>324631</v>
      </c>
    </row>
    <row r="84" spans="1:20" ht="15">
      <c r="A84" t="e">
        <f t="shared" si="6"/>
        <v>#REF!</v>
      </c>
      <c r="B84" t="s">
        <v>222</v>
      </c>
      <c r="C84">
        <v>518200</v>
      </c>
      <c r="D84">
        <v>518200</v>
      </c>
      <c r="E84" s="43">
        <v>556057</v>
      </c>
      <c r="F84" s="43">
        <v>565577</v>
      </c>
      <c r="G84" s="43">
        <v>565546</v>
      </c>
      <c r="H84" s="29">
        <v>534042</v>
      </c>
      <c r="I84" s="29">
        <v>478315</v>
      </c>
      <c r="J84" s="29">
        <v>475075</v>
      </c>
      <c r="K84" s="43">
        <v>451971</v>
      </c>
      <c r="L84" s="43">
        <v>427197</v>
      </c>
      <c r="M84" s="43">
        <v>412845</v>
      </c>
      <c r="N84" s="43">
        <v>397929</v>
      </c>
      <c r="O84" s="43">
        <v>417142</v>
      </c>
      <c r="P84" s="43">
        <v>405383</v>
      </c>
      <c r="Q84" s="43">
        <v>370500</v>
      </c>
      <c r="R84" s="43">
        <v>336700</v>
      </c>
      <c r="S84" s="43">
        <v>302300</v>
      </c>
      <c r="T84" s="61">
        <v>324631</v>
      </c>
    </row>
    <row r="85" spans="1:20">
      <c r="A85" t="e">
        <f t="shared" ref="A85:A139" si="35">A84+1</f>
        <v>#REF!</v>
      </c>
      <c r="B85" s="23" t="s">
        <v>661</v>
      </c>
      <c r="C85" s="53">
        <f t="shared" ref="C85" si="36">SUBTOTAL(9,C86:C87)</f>
        <v>43755699</v>
      </c>
      <c r="D85" s="53">
        <f t="shared" ref="D85" si="37">SUBTOTAL(9,D86:D87)</f>
        <v>42881222</v>
      </c>
      <c r="E85" s="53">
        <f t="shared" ref="E85:P85" si="38">SUBTOTAL(9,E86:E87)</f>
        <v>42426048</v>
      </c>
      <c r="F85" s="53">
        <f t="shared" si="38"/>
        <v>41985113</v>
      </c>
      <c r="G85" s="53">
        <f t="shared" si="38"/>
        <v>43522681</v>
      </c>
      <c r="H85" s="53">
        <f t="shared" si="38"/>
        <v>37951980</v>
      </c>
      <c r="I85" s="53">
        <f t="shared" si="38"/>
        <v>35256195</v>
      </c>
      <c r="J85" s="53">
        <f t="shared" si="38"/>
        <v>34755136</v>
      </c>
      <c r="K85" s="53">
        <f t="shared" si="38"/>
        <v>36499779</v>
      </c>
      <c r="L85" s="53">
        <f t="shared" si="38"/>
        <v>36129470</v>
      </c>
      <c r="M85" s="53">
        <f t="shared" si="38"/>
        <v>33387897</v>
      </c>
      <c r="N85" s="53">
        <f t="shared" si="38"/>
        <v>31376707</v>
      </c>
      <c r="O85" s="53">
        <f t="shared" si="38"/>
        <v>28544499</v>
      </c>
      <c r="P85" s="53">
        <f t="shared" si="38"/>
        <v>27069379</v>
      </c>
      <c r="Q85" s="53">
        <f t="shared" ref="Q85" si="39">SUBTOTAL(9,Q86:Q87)</f>
        <v>0</v>
      </c>
      <c r="R85" s="53">
        <f t="shared" ref="R85" si="40">SUBTOTAL(9,R86:R87)</f>
        <v>0</v>
      </c>
      <c r="S85" s="53">
        <f t="shared" ref="S85" si="41">SUBTOTAL(9,S86:S87)</f>
        <v>0</v>
      </c>
      <c r="T85" s="53">
        <f t="shared" ref="T85" si="42">SUBTOTAL(9,T86:T87)</f>
        <v>22396803</v>
      </c>
    </row>
    <row r="86" spans="1:20">
      <c r="A86" t="e">
        <f t="shared" si="35"/>
        <v>#REF!</v>
      </c>
      <c r="B86" s="23" t="s">
        <v>223</v>
      </c>
      <c r="C86" s="53">
        <f t="shared" ref="C86:F86" si="43">SUBTOTAL(9,C87:C87)</f>
        <v>43755699</v>
      </c>
      <c r="D86" s="53">
        <f t="shared" si="43"/>
        <v>42881222</v>
      </c>
      <c r="E86" s="53">
        <f t="shared" si="43"/>
        <v>42426048</v>
      </c>
      <c r="F86" s="53">
        <f t="shared" si="43"/>
        <v>41985113</v>
      </c>
      <c r="G86" s="53">
        <f t="shared" ref="G86" si="44">SUBTOTAL(9,G87:G87)</f>
        <v>43522681</v>
      </c>
      <c r="H86" s="53">
        <f t="shared" ref="H86" si="45">SUBTOTAL(9,H87:H87)</f>
        <v>37951980</v>
      </c>
      <c r="I86" s="53">
        <f t="shared" ref="I86" si="46">SUBTOTAL(9,I87:I87)</f>
        <v>35256195</v>
      </c>
      <c r="J86" s="53">
        <f t="shared" ref="J86:T86" si="47">SUBTOTAL(9,J87:J87)</f>
        <v>34755136</v>
      </c>
      <c r="K86" s="53">
        <f t="shared" si="47"/>
        <v>36499779</v>
      </c>
      <c r="L86" s="53">
        <f t="shared" si="47"/>
        <v>36129470</v>
      </c>
      <c r="M86" s="53">
        <f t="shared" si="47"/>
        <v>33387897</v>
      </c>
      <c r="N86" s="53">
        <f t="shared" si="47"/>
        <v>31376707</v>
      </c>
      <c r="O86" s="53">
        <f t="shared" si="47"/>
        <v>28544499</v>
      </c>
      <c r="P86" s="53">
        <f t="shared" si="47"/>
        <v>27069379</v>
      </c>
      <c r="Q86" s="53">
        <f t="shared" si="47"/>
        <v>0</v>
      </c>
      <c r="R86" s="53">
        <f t="shared" si="47"/>
        <v>0</v>
      </c>
      <c r="S86" s="53">
        <f t="shared" si="47"/>
        <v>0</v>
      </c>
      <c r="T86" s="53">
        <f t="shared" si="47"/>
        <v>22396803</v>
      </c>
    </row>
    <row r="87" spans="1:20">
      <c r="A87" t="e">
        <f t="shared" si="35"/>
        <v>#REF!</v>
      </c>
      <c r="B87" t="s">
        <v>224</v>
      </c>
      <c r="C87">
        <v>43755699</v>
      </c>
      <c r="D87">
        <v>42881222</v>
      </c>
      <c r="E87" s="29">
        <v>42426048</v>
      </c>
      <c r="F87" s="29">
        <v>41985113</v>
      </c>
      <c r="G87" s="29">
        <v>43522681</v>
      </c>
      <c r="H87" s="29">
        <v>37951980</v>
      </c>
      <c r="I87" s="29">
        <v>35256195</v>
      </c>
      <c r="J87" s="29">
        <v>34755136</v>
      </c>
      <c r="K87" s="43">
        <v>36499779</v>
      </c>
      <c r="L87" s="43">
        <v>36129470</v>
      </c>
      <c r="M87" s="43">
        <v>33387897</v>
      </c>
      <c r="N87" s="43">
        <v>31376707</v>
      </c>
      <c r="O87" s="43">
        <v>28544499</v>
      </c>
      <c r="P87" s="43">
        <v>27069379</v>
      </c>
      <c r="T87" s="43">
        <v>22396803</v>
      </c>
    </row>
    <row r="88" spans="1:20">
      <c r="A88" t="e">
        <f t="shared" si="35"/>
        <v>#REF!</v>
      </c>
      <c r="B88" s="23" t="s">
        <v>662</v>
      </c>
      <c r="C88" s="53">
        <f t="shared" ref="C88" si="48">SUBTOTAL(9,C89:C110)</f>
        <v>8802695</v>
      </c>
      <c r="D88" s="53">
        <f t="shared" ref="D88" si="49">SUBTOTAL(9,D89:D110)</f>
        <v>8594827</v>
      </c>
      <c r="E88" s="53">
        <f t="shared" ref="E88:K88" si="50">SUBTOTAL(9,E89:E110)</f>
        <v>8815275</v>
      </c>
      <c r="F88" s="53">
        <f t="shared" si="50"/>
        <v>8362584</v>
      </c>
      <c r="G88" s="53">
        <f t="shared" si="50"/>
        <v>8418368</v>
      </c>
      <c r="H88" s="53">
        <f t="shared" si="50"/>
        <v>9896518</v>
      </c>
      <c r="I88" s="53">
        <f t="shared" si="50"/>
        <v>9687175</v>
      </c>
      <c r="J88" s="53">
        <f t="shared" si="50"/>
        <v>7903831</v>
      </c>
      <c r="K88" s="53">
        <f t="shared" si="50"/>
        <v>7120397</v>
      </c>
      <c r="L88" s="53">
        <f t="shared" ref="L88" si="51">SUBTOTAL(9,L89:L110)</f>
        <v>7286954</v>
      </c>
      <c r="M88" s="53">
        <f t="shared" ref="M88:T88" si="52">SUBTOTAL(9,M89:M110)</f>
        <v>7326148</v>
      </c>
      <c r="N88" s="53">
        <f t="shared" si="52"/>
        <v>6625271</v>
      </c>
      <c r="O88" s="53">
        <f t="shared" si="52"/>
        <v>5513539</v>
      </c>
      <c r="P88" s="53">
        <f t="shared" si="52"/>
        <v>5630919</v>
      </c>
      <c r="Q88" s="53">
        <f t="shared" si="52"/>
        <v>0</v>
      </c>
      <c r="R88" s="53">
        <f t="shared" si="52"/>
        <v>0</v>
      </c>
      <c r="S88" s="53">
        <f t="shared" si="52"/>
        <v>0</v>
      </c>
      <c r="T88" s="53">
        <f t="shared" si="52"/>
        <v>0</v>
      </c>
    </row>
    <row r="89" spans="1:20">
      <c r="A89" t="e">
        <f t="shared" si="35"/>
        <v>#REF!</v>
      </c>
      <c r="B89" s="23" t="s">
        <v>225</v>
      </c>
      <c r="C89" s="53">
        <f>SUBTOTAL(9,C90:C92)</f>
        <v>5914865</v>
      </c>
      <c r="D89" s="53">
        <f>SUBTOTAL(9,D90:D92)</f>
        <v>5706997</v>
      </c>
      <c r="E89" s="53">
        <f>SUBTOTAL(9,E90:E92)</f>
        <v>5235453</v>
      </c>
      <c r="F89" s="53">
        <f t="shared" ref="F89:P89" si="53">SUBTOTAL(9,F90:F92)</f>
        <v>4892597</v>
      </c>
      <c r="G89" s="53">
        <f t="shared" si="53"/>
        <v>5021538</v>
      </c>
      <c r="H89" s="53">
        <f t="shared" si="53"/>
        <v>4922369</v>
      </c>
      <c r="I89" s="53">
        <f t="shared" si="53"/>
        <v>4764359</v>
      </c>
      <c r="J89" s="53">
        <f t="shared" si="53"/>
        <v>4942532</v>
      </c>
      <c r="K89" s="53">
        <f t="shared" si="53"/>
        <v>5376799</v>
      </c>
      <c r="L89" s="53">
        <f t="shared" si="53"/>
        <v>5530778</v>
      </c>
      <c r="M89" s="53">
        <f t="shared" si="53"/>
        <v>5595779</v>
      </c>
      <c r="N89" s="53">
        <f t="shared" si="53"/>
        <v>4861374</v>
      </c>
      <c r="O89" s="53">
        <f t="shared" si="53"/>
        <v>3935022</v>
      </c>
      <c r="P89" s="53">
        <f t="shared" si="53"/>
        <v>3425898</v>
      </c>
      <c r="Q89" s="53">
        <f t="shared" ref="Q89" si="54">SUBTOTAL(9,Q90:Q92)</f>
        <v>0</v>
      </c>
      <c r="R89" s="53">
        <f t="shared" ref="R89" si="55">SUBTOTAL(9,R90:R92)</f>
        <v>0</v>
      </c>
      <c r="S89" s="53">
        <f t="shared" ref="S89" si="56">SUBTOTAL(9,S90:S92)</f>
        <v>0</v>
      </c>
      <c r="T89" s="53">
        <f t="shared" ref="T89" si="57">SUBTOTAL(9,T90:T92)</f>
        <v>0</v>
      </c>
    </row>
    <row r="90" spans="1:20">
      <c r="A90" t="e">
        <f t="shared" si="35"/>
        <v>#REF!</v>
      </c>
      <c r="B90" t="s">
        <v>226</v>
      </c>
      <c r="C90">
        <v>310970</v>
      </c>
      <c r="D90">
        <v>310970</v>
      </c>
      <c r="E90">
        <v>325152</v>
      </c>
      <c r="F90">
        <v>298827</v>
      </c>
      <c r="G90">
        <v>484740</v>
      </c>
      <c r="H90" s="29">
        <v>458245</v>
      </c>
      <c r="I90" s="29">
        <v>493675</v>
      </c>
      <c r="J90" s="29">
        <v>532522</v>
      </c>
      <c r="K90" s="43">
        <v>543588</v>
      </c>
      <c r="L90" s="43">
        <v>626501</v>
      </c>
      <c r="M90" s="43">
        <v>589825</v>
      </c>
      <c r="N90" s="43">
        <v>408486</v>
      </c>
      <c r="O90" s="43">
        <v>302263</v>
      </c>
      <c r="P90" s="43">
        <v>235443</v>
      </c>
    </row>
    <row r="91" spans="1:20">
      <c r="A91" t="e">
        <f t="shared" si="35"/>
        <v>#REF!</v>
      </c>
      <c r="B91" t="s">
        <v>202</v>
      </c>
      <c r="C91" s="43">
        <v>4603895</v>
      </c>
      <c r="D91" s="43">
        <v>4396027</v>
      </c>
      <c r="E91" s="43">
        <v>4752839</v>
      </c>
      <c r="F91" s="43">
        <f>2559720+1805497</f>
        <v>4365217</v>
      </c>
      <c r="G91">
        <v>4110815</v>
      </c>
      <c r="H91" s="29">
        <v>3844425</v>
      </c>
      <c r="I91" s="29">
        <v>3516890</v>
      </c>
      <c r="J91" s="29">
        <v>3550387</v>
      </c>
      <c r="K91" s="43">
        <v>3598234</v>
      </c>
      <c r="L91" s="43">
        <v>3383012</v>
      </c>
      <c r="M91" s="43">
        <v>3273420</v>
      </c>
      <c r="N91" s="43">
        <v>2830304</v>
      </c>
      <c r="O91" s="43">
        <v>2421052</v>
      </c>
      <c r="P91" s="43">
        <v>2025246</v>
      </c>
    </row>
    <row r="92" spans="1:20">
      <c r="A92" t="e">
        <f t="shared" si="35"/>
        <v>#REF!</v>
      </c>
      <c r="B92" t="s">
        <v>227</v>
      </c>
      <c r="C92">
        <v>1000000</v>
      </c>
      <c r="D92">
        <v>1000000</v>
      </c>
      <c r="E92">
        <v>157462</v>
      </c>
      <c r="F92">
        <v>228553</v>
      </c>
      <c r="G92">
        <v>425983</v>
      </c>
      <c r="H92" s="29">
        <v>619699</v>
      </c>
      <c r="I92" s="29">
        <v>753794</v>
      </c>
      <c r="J92" s="29">
        <v>859623</v>
      </c>
      <c r="K92" s="43">
        <v>1234977</v>
      </c>
      <c r="L92" s="43">
        <v>1521265</v>
      </c>
      <c r="M92" s="43">
        <v>1732534</v>
      </c>
      <c r="N92" s="43">
        <v>1622584</v>
      </c>
      <c r="O92" s="43">
        <v>1211707</v>
      </c>
      <c r="P92" s="43">
        <v>1165209</v>
      </c>
    </row>
    <row r="93" spans="1:20">
      <c r="A93" t="e">
        <f t="shared" si="35"/>
        <v>#REF!</v>
      </c>
      <c r="B93" s="23" t="s">
        <v>228</v>
      </c>
      <c r="C93" s="53">
        <f t="shared" ref="C93:D93" si="58">SUBTOTAL(9,C94:C96)</f>
        <v>227640</v>
      </c>
      <c r="D93" s="53">
        <f t="shared" si="58"/>
        <v>227640</v>
      </c>
      <c r="E93" s="53">
        <f>SUBTOTAL(9,E94:E96)</f>
        <v>141301</v>
      </c>
      <c r="F93" s="53">
        <f t="shared" ref="F93:T93" si="59">SUBTOTAL(9,F94:F96)</f>
        <v>167340</v>
      </c>
      <c r="G93" s="53">
        <f t="shared" si="59"/>
        <v>184849</v>
      </c>
      <c r="H93" s="53">
        <f t="shared" si="59"/>
        <v>210661</v>
      </c>
      <c r="I93" s="53">
        <f t="shared" si="59"/>
        <v>209470</v>
      </c>
      <c r="J93" s="53">
        <f t="shared" si="59"/>
        <v>250100</v>
      </c>
      <c r="K93" s="53">
        <f t="shared" si="59"/>
        <v>246231</v>
      </c>
      <c r="L93" s="53">
        <f t="shared" si="59"/>
        <v>259970</v>
      </c>
      <c r="M93" s="53">
        <f t="shared" si="59"/>
        <v>253356</v>
      </c>
      <c r="N93" s="53">
        <f t="shared" si="59"/>
        <v>285740</v>
      </c>
      <c r="O93" s="53">
        <f t="shared" si="59"/>
        <v>234707</v>
      </c>
      <c r="P93" s="53">
        <f t="shared" si="59"/>
        <v>205765</v>
      </c>
      <c r="Q93" s="53">
        <f t="shared" si="59"/>
        <v>0</v>
      </c>
      <c r="R93" s="53">
        <f t="shared" si="59"/>
        <v>0</v>
      </c>
      <c r="S93" s="53">
        <f t="shared" si="59"/>
        <v>0</v>
      </c>
      <c r="T93" s="53">
        <f t="shared" si="59"/>
        <v>0</v>
      </c>
    </row>
    <row r="94" spans="1:20">
      <c r="A94" t="e">
        <f t="shared" si="35"/>
        <v>#REF!</v>
      </c>
      <c r="B94" t="s">
        <v>229</v>
      </c>
      <c r="C94">
        <v>20450</v>
      </c>
      <c r="D94">
        <v>20450</v>
      </c>
      <c r="E94">
        <v>16791</v>
      </c>
      <c r="F94">
        <v>4044</v>
      </c>
      <c r="G94">
        <v>15074</v>
      </c>
      <c r="H94" s="29">
        <v>17179</v>
      </c>
      <c r="I94" s="29">
        <v>19845</v>
      </c>
      <c r="J94" s="29">
        <v>27450</v>
      </c>
      <c r="K94" s="43">
        <v>20450</v>
      </c>
      <c r="L94" s="43">
        <v>26316</v>
      </c>
      <c r="M94" s="43">
        <v>28300</v>
      </c>
      <c r="N94" s="43">
        <v>42035</v>
      </c>
      <c r="O94" s="43">
        <v>52062</v>
      </c>
      <c r="P94" s="43">
        <v>43979</v>
      </c>
    </row>
    <row r="95" spans="1:20">
      <c r="A95" t="e">
        <f t="shared" si="35"/>
        <v>#REF!</v>
      </c>
      <c r="B95" t="s">
        <v>230</v>
      </c>
      <c r="C95">
        <v>154843</v>
      </c>
      <c r="D95">
        <v>154843</v>
      </c>
      <c r="E95">
        <v>97505</v>
      </c>
      <c r="F95">
        <v>114652</v>
      </c>
      <c r="G95">
        <v>145390</v>
      </c>
      <c r="H95" s="29">
        <v>130802</v>
      </c>
      <c r="I95" s="29">
        <v>137663</v>
      </c>
      <c r="J95" s="29">
        <v>167944</v>
      </c>
      <c r="K95" s="43">
        <v>173434</v>
      </c>
      <c r="L95" s="43">
        <v>164372</v>
      </c>
      <c r="M95" s="43">
        <v>162948</v>
      </c>
      <c r="N95" s="43">
        <v>144447</v>
      </c>
      <c r="O95" s="43">
        <v>119715</v>
      </c>
      <c r="P95" s="43">
        <v>105192</v>
      </c>
    </row>
    <row r="96" spans="1:20">
      <c r="A96" t="e">
        <f t="shared" si="35"/>
        <v>#REF!</v>
      </c>
      <c r="B96" t="s">
        <v>231</v>
      </c>
      <c r="C96">
        <v>52347</v>
      </c>
      <c r="D96">
        <v>52347</v>
      </c>
      <c r="E96">
        <v>27005</v>
      </c>
      <c r="F96">
        <v>48644</v>
      </c>
      <c r="G96">
        <v>24385</v>
      </c>
      <c r="H96" s="29">
        <v>62680</v>
      </c>
      <c r="I96" s="29">
        <v>51962</v>
      </c>
      <c r="J96" s="29">
        <v>54706</v>
      </c>
      <c r="K96" s="43">
        <v>52347</v>
      </c>
      <c r="L96" s="43">
        <v>69282</v>
      </c>
      <c r="M96" s="43">
        <v>62108</v>
      </c>
      <c r="N96" s="43">
        <v>99258</v>
      </c>
      <c r="O96" s="43">
        <v>62930</v>
      </c>
      <c r="P96" s="43">
        <v>56594</v>
      </c>
    </row>
    <row r="97" spans="1:20">
      <c r="A97" t="e">
        <f t="shared" si="35"/>
        <v>#REF!</v>
      </c>
      <c r="B97" s="23" t="s">
        <v>232</v>
      </c>
      <c r="C97" s="53">
        <f t="shared" ref="C97:T97" si="60">SUBTOTAL(9,C98:C99)</f>
        <v>0</v>
      </c>
      <c r="D97" s="53">
        <f t="shared" si="60"/>
        <v>0</v>
      </c>
      <c r="E97" s="53">
        <f t="shared" si="60"/>
        <v>0</v>
      </c>
      <c r="F97" s="53">
        <f t="shared" si="60"/>
        <v>0</v>
      </c>
      <c r="G97" s="53">
        <f t="shared" si="60"/>
        <v>0</v>
      </c>
      <c r="H97" s="53">
        <f t="shared" si="60"/>
        <v>0</v>
      </c>
      <c r="I97" s="53">
        <f t="shared" si="60"/>
        <v>459</v>
      </c>
      <c r="J97" s="53">
        <f t="shared" si="60"/>
        <v>38338</v>
      </c>
      <c r="K97" s="53">
        <f t="shared" si="60"/>
        <v>97725</v>
      </c>
      <c r="L97" s="53">
        <f t="shared" si="60"/>
        <v>135830</v>
      </c>
      <c r="M97" s="53">
        <f t="shared" si="60"/>
        <v>134689</v>
      </c>
      <c r="N97" s="53">
        <f t="shared" si="60"/>
        <v>132579</v>
      </c>
      <c r="O97" s="53">
        <f t="shared" si="60"/>
        <v>130988</v>
      </c>
      <c r="P97" s="53">
        <f t="shared" si="60"/>
        <v>127253</v>
      </c>
      <c r="Q97" s="53">
        <f t="shared" si="60"/>
        <v>0</v>
      </c>
      <c r="R97" s="53">
        <f t="shared" si="60"/>
        <v>0</v>
      </c>
      <c r="S97" s="53">
        <f t="shared" si="60"/>
        <v>0</v>
      </c>
      <c r="T97" s="53">
        <f t="shared" si="60"/>
        <v>0</v>
      </c>
    </row>
    <row r="98" spans="1:20">
      <c r="A98" t="e">
        <f t="shared" si="35"/>
        <v>#REF!</v>
      </c>
      <c r="B98" t="s">
        <v>233</v>
      </c>
      <c r="E98" s="29">
        <v>0</v>
      </c>
      <c r="F98" s="29">
        <v>0</v>
      </c>
      <c r="G98" s="29">
        <v>0</v>
      </c>
      <c r="H98" s="29">
        <v>0</v>
      </c>
      <c r="I98" s="29">
        <v>0</v>
      </c>
      <c r="J98" s="29">
        <v>38338</v>
      </c>
      <c r="K98" s="43">
        <v>6996</v>
      </c>
      <c r="L98" s="43">
        <v>46015</v>
      </c>
      <c r="M98" s="43">
        <v>52248</v>
      </c>
      <c r="N98" s="43">
        <v>28230</v>
      </c>
      <c r="O98" s="43">
        <v>58493</v>
      </c>
      <c r="P98" s="43">
        <v>31940</v>
      </c>
    </row>
    <row r="99" spans="1:20">
      <c r="A99" t="e">
        <f t="shared" si="35"/>
        <v>#REF!</v>
      </c>
      <c r="B99" t="s">
        <v>234</v>
      </c>
      <c r="E99" s="29">
        <v>0</v>
      </c>
      <c r="F99" s="29">
        <v>0</v>
      </c>
      <c r="G99" s="29">
        <v>0</v>
      </c>
      <c r="H99" s="29">
        <v>0</v>
      </c>
      <c r="I99" s="29">
        <v>459</v>
      </c>
      <c r="J99" s="29">
        <v>0</v>
      </c>
      <c r="K99" s="43">
        <v>90729</v>
      </c>
      <c r="L99" s="43">
        <v>89815</v>
      </c>
      <c r="M99" s="43">
        <v>82441</v>
      </c>
      <c r="N99" s="43">
        <v>104349</v>
      </c>
      <c r="O99" s="43">
        <v>72495</v>
      </c>
      <c r="P99" s="43">
        <v>95313</v>
      </c>
    </row>
    <row r="100" spans="1:20">
      <c r="A100" t="e">
        <f t="shared" si="35"/>
        <v>#REF!</v>
      </c>
      <c r="B100" s="23" t="s">
        <v>235</v>
      </c>
      <c r="C100" s="53">
        <f t="shared" ref="C100:T100" si="61">SUBTOTAL(9,C101:C103)</f>
        <v>1139679</v>
      </c>
      <c r="D100" s="53">
        <f t="shared" si="61"/>
        <v>1139679</v>
      </c>
      <c r="E100" s="53">
        <f t="shared" si="61"/>
        <v>1652276</v>
      </c>
      <c r="F100" s="53">
        <f t="shared" si="61"/>
        <v>1646302</v>
      </c>
      <c r="G100" s="53">
        <f t="shared" si="61"/>
        <v>1480204</v>
      </c>
      <c r="H100" s="53">
        <f t="shared" si="61"/>
        <v>1448556</v>
      </c>
      <c r="I100" s="53">
        <f t="shared" si="61"/>
        <v>1341390</v>
      </c>
      <c r="J100" s="53">
        <f t="shared" si="61"/>
        <v>1120304</v>
      </c>
      <c r="K100" s="53">
        <f t="shared" si="61"/>
        <v>142857</v>
      </c>
      <c r="L100" s="53">
        <f t="shared" si="61"/>
        <v>56375</v>
      </c>
      <c r="M100" s="53">
        <f t="shared" si="61"/>
        <v>52328</v>
      </c>
      <c r="N100" s="53">
        <f t="shared" si="61"/>
        <v>49509</v>
      </c>
      <c r="O100" s="53">
        <f t="shared" si="61"/>
        <v>70377</v>
      </c>
      <c r="P100" s="53">
        <f t="shared" si="61"/>
        <v>166607</v>
      </c>
      <c r="Q100" s="53">
        <f t="shared" si="61"/>
        <v>0</v>
      </c>
      <c r="R100" s="53">
        <f t="shared" si="61"/>
        <v>0</v>
      </c>
      <c r="S100" s="53">
        <f t="shared" si="61"/>
        <v>0</v>
      </c>
      <c r="T100" s="53">
        <f t="shared" si="61"/>
        <v>0</v>
      </c>
    </row>
    <row r="101" spans="1:20">
      <c r="A101" t="e">
        <f t="shared" si="35"/>
        <v>#REF!</v>
      </c>
      <c r="B101" t="s">
        <v>236</v>
      </c>
      <c r="C101">
        <v>50000</v>
      </c>
      <c r="D101">
        <v>50000</v>
      </c>
      <c r="E101">
        <v>94578</v>
      </c>
      <c r="F101">
        <v>98882</v>
      </c>
      <c r="G101">
        <v>94739</v>
      </c>
      <c r="H101" s="29">
        <v>98131</v>
      </c>
      <c r="I101" s="29">
        <v>97122</v>
      </c>
      <c r="J101" s="29">
        <v>78749</v>
      </c>
      <c r="K101" s="43">
        <v>91018</v>
      </c>
      <c r="L101" s="43">
        <v>13530</v>
      </c>
      <c r="M101" s="43">
        <v>11578</v>
      </c>
      <c r="N101">
        <v>15733</v>
      </c>
      <c r="O101">
        <v>13017</v>
      </c>
      <c r="P101">
        <v>13353</v>
      </c>
    </row>
    <row r="102" spans="1:20">
      <c r="A102" t="e">
        <f t="shared" si="35"/>
        <v>#REF!</v>
      </c>
      <c r="B102" t="s">
        <v>237</v>
      </c>
      <c r="C102">
        <v>51839</v>
      </c>
      <c r="D102">
        <v>51839</v>
      </c>
      <c r="E102">
        <v>0</v>
      </c>
      <c r="F102">
        <v>0</v>
      </c>
      <c r="G102" s="29">
        <v>0</v>
      </c>
      <c r="H102" s="29">
        <v>0</v>
      </c>
      <c r="I102" s="29">
        <v>0</v>
      </c>
      <c r="J102" s="29">
        <v>12263</v>
      </c>
      <c r="K102" s="43">
        <v>51839</v>
      </c>
      <c r="L102" s="43">
        <v>42845</v>
      </c>
      <c r="M102" s="43">
        <v>40750</v>
      </c>
      <c r="N102">
        <v>33776</v>
      </c>
      <c r="O102">
        <v>57360</v>
      </c>
      <c r="P102">
        <v>153254</v>
      </c>
    </row>
    <row r="103" spans="1:20">
      <c r="A103" t="e">
        <f t="shared" si="35"/>
        <v>#REF!</v>
      </c>
      <c r="B103" t="s">
        <v>238</v>
      </c>
      <c r="C103">
        <v>1037840</v>
      </c>
      <c r="D103">
        <v>1037840</v>
      </c>
      <c r="E103">
        <v>1557698</v>
      </c>
      <c r="F103">
        <v>1547420</v>
      </c>
      <c r="G103">
        <v>1385465</v>
      </c>
      <c r="H103" s="29">
        <v>1350425</v>
      </c>
      <c r="I103" s="29">
        <v>1244268</v>
      </c>
      <c r="J103" s="29">
        <v>1029292</v>
      </c>
      <c r="K103" s="43" t="s">
        <v>4</v>
      </c>
      <c r="L103" s="43" t="s">
        <v>4</v>
      </c>
      <c r="M103" s="43" t="s">
        <v>4</v>
      </c>
      <c r="N103" s="43" t="s">
        <v>4</v>
      </c>
      <c r="O103" s="43" t="s">
        <v>4</v>
      </c>
      <c r="P103" s="43" t="s">
        <v>4</v>
      </c>
    </row>
    <row r="104" spans="1:20">
      <c r="A104" t="e">
        <f t="shared" si="35"/>
        <v>#REF!</v>
      </c>
      <c r="B104" s="23" t="s">
        <v>239</v>
      </c>
      <c r="C104" s="53">
        <f t="shared" ref="C104:T104" si="62">SUBTOTAL(9,C105:C110)</f>
        <v>1520511</v>
      </c>
      <c r="D104" s="53">
        <f t="shared" si="62"/>
        <v>1520511</v>
      </c>
      <c r="E104" s="53">
        <f t="shared" si="62"/>
        <v>1786245</v>
      </c>
      <c r="F104" s="53">
        <f t="shared" si="62"/>
        <v>1656345</v>
      </c>
      <c r="G104" s="53">
        <f t="shared" si="62"/>
        <v>1731777</v>
      </c>
      <c r="H104" s="53">
        <f t="shared" si="62"/>
        <v>3314932</v>
      </c>
      <c r="I104" s="53">
        <f t="shared" si="62"/>
        <v>3371497</v>
      </c>
      <c r="J104" s="53">
        <f t="shared" si="62"/>
        <v>1552557</v>
      </c>
      <c r="K104" s="53">
        <f t="shared" si="62"/>
        <v>1256785</v>
      </c>
      <c r="L104" s="53">
        <f t="shared" si="62"/>
        <v>1304001</v>
      </c>
      <c r="M104" s="53">
        <f t="shared" si="62"/>
        <v>1289996</v>
      </c>
      <c r="N104" s="53">
        <f t="shared" si="62"/>
        <v>1296069</v>
      </c>
      <c r="O104" s="53">
        <f t="shared" si="62"/>
        <v>1142445</v>
      </c>
      <c r="P104" s="53">
        <f t="shared" si="62"/>
        <v>1705396</v>
      </c>
      <c r="Q104" s="53">
        <f t="shared" si="62"/>
        <v>0</v>
      </c>
      <c r="R104" s="53">
        <f t="shared" si="62"/>
        <v>0</v>
      </c>
      <c r="S104" s="53">
        <f t="shared" si="62"/>
        <v>0</v>
      </c>
      <c r="T104" s="53">
        <f t="shared" si="62"/>
        <v>0</v>
      </c>
    </row>
    <row r="105" spans="1:20">
      <c r="A105" t="e">
        <f t="shared" si="35"/>
        <v>#REF!</v>
      </c>
      <c r="B105" t="s">
        <v>240</v>
      </c>
      <c r="C105">
        <v>214200</v>
      </c>
      <c r="D105">
        <v>214200</v>
      </c>
      <c r="E105">
        <v>353157</v>
      </c>
      <c r="F105">
        <v>313226</v>
      </c>
      <c r="G105">
        <v>316472</v>
      </c>
      <c r="H105" s="29">
        <v>293768</v>
      </c>
      <c r="I105" s="29">
        <v>296938</v>
      </c>
      <c r="J105" s="29">
        <v>283583</v>
      </c>
      <c r="K105" s="43">
        <v>272213</v>
      </c>
      <c r="L105" s="43">
        <v>255491</v>
      </c>
      <c r="M105" s="43">
        <v>249761</v>
      </c>
      <c r="N105">
        <v>246443</v>
      </c>
      <c r="O105">
        <v>227801</v>
      </c>
      <c r="P105">
        <v>215647</v>
      </c>
    </row>
    <row r="106" spans="1:20">
      <c r="A106" t="e">
        <f t="shared" si="35"/>
        <v>#REF!</v>
      </c>
      <c r="B106" t="s">
        <v>241</v>
      </c>
      <c r="C106">
        <v>85491</v>
      </c>
      <c r="D106">
        <v>85491</v>
      </c>
      <c r="E106">
        <v>41896</v>
      </c>
      <c r="F106">
        <v>46569</v>
      </c>
      <c r="G106">
        <v>42904</v>
      </c>
      <c r="H106" s="29">
        <v>92507</v>
      </c>
      <c r="I106" s="29">
        <v>100695</v>
      </c>
      <c r="J106" s="29">
        <v>114680</v>
      </c>
      <c r="K106" s="43">
        <v>85491</v>
      </c>
      <c r="L106" s="43">
        <v>85209</v>
      </c>
      <c r="M106" s="43">
        <v>88147</v>
      </c>
      <c r="N106">
        <v>80075</v>
      </c>
      <c r="O106">
        <v>86071</v>
      </c>
      <c r="P106">
        <v>139094</v>
      </c>
    </row>
    <row r="107" spans="1:20">
      <c r="A107" t="e">
        <f t="shared" si="35"/>
        <v>#REF!</v>
      </c>
      <c r="B107" t="s">
        <v>242</v>
      </c>
      <c r="C107">
        <v>52820</v>
      </c>
      <c r="D107">
        <v>52820</v>
      </c>
      <c r="E107">
        <v>346528</v>
      </c>
      <c r="F107">
        <v>147752</v>
      </c>
      <c r="G107">
        <v>123891</v>
      </c>
      <c r="H107" s="29">
        <v>78319</v>
      </c>
      <c r="I107" s="29">
        <v>84599</v>
      </c>
      <c r="J107" s="29">
        <v>74829</v>
      </c>
      <c r="K107" s="43">
        <v>53861</v>
      </c>
      <c r="L107" s="43">
        <v>52820</v>
      </c>
      <c r="M107" s="43">
        <v>44682</v>
      </c>
      <c r="N107">
        <v>52851</v>
      </c>
      <c r="O107">
        <v>44100</v>
      </c>
      <c r="P107">
        <v>40212</v>
      </c>
    </row>
    <row r="108" spans="1:20">
      <c r="A108" t="e">
        <f t="shared" si="35"/>
        <v>#REF!</v>
      </c>
      <c r="B108" t="s">
        <v>243</v>
      </c>
      <c r="C108">
        <v>1168000</v>
      </c>
      <c r="D108">
        <v>1168000</v>
      </c>
      <c r="E108">
        <v>1013069</v>
      </c>
      <c r="F108">
        <v>1093060</v>
      </c>
      <c r="G108">
        <v>1008713</v>
      </c>
      <c r="H108" s="29">
        <v>1056639</v>
      </c>
      <c r="I108" s="29">
        <v>1048994</v>
      </c>
      <c r="J108" s="29">
        <v>1079465</v>
      </c>
      <c r="K108" s="43">
        <v>845220</v>
      </c>
      <c r="L108" s="43">
        <v>910481</v>
      </c>
      <c r="M108" s="43">
        <v>906770</v>
      </c>
      <c r="N108">
        <v>916700</v>
      </c>
      <c r="O108">
        <v>755281</v>
      </c>
      <c r="P108">
        <v>919162</v>
      </c>
    </row>
    <row r="109" spans="1:20">
      <c r="A109" t="e">
        <f t="shared" si="35"/>
        <v>#REF!</v>
      </c>
      <c r="B109" t="s">
        <v>244</v>
      </c>
      <c r="C109">
        <v>0</v>
      </c>
      <c r="D109">
        <v>0</v>
      </c>
      <c r="E109" s="29">
        <v>31595</v>
      </c>
      <c r="F109" s="29">
        <v>55738</v>
      </c>
      <c r="G109">
        <v>239797</v>
      </c>
      <c r="H109" s="29">
        <v>1793699</v>
      </c>
      <c r="I109" s="29">
        <v>1840271</v>
      </c>
      <c r="J109" s="29">
        <v>0</v>
      </c>
      <c r="K109" s="43" t="s">
        <v>4</v>
      </c>
      <c r="L109" s="43" t="s">
        <v>4</v>
      </c>
      <c r="M109" s="43" t="s">
        <v>4</v>
      </c>
      <c r="N109" s="43" t="s">
        <v>4</v>
      </c>
      <c r="O109" s="43" t="s">
        <v>4</v>
      </c>
      <c r="P109" s="43" t="s">
        <v>4</v>
      </c>
    </row>
    <row r="110" spans="1:20">
      <c r="B110" s="24" t="s">
        <v>673</v>
      </c>
      <c r="C110" s="24"/>
      <c r="D110" s="24"/>
      <c r="E110" s="29"/>
      <c r="F110" s="29"/>
      <c r="G110" s="29"/>
      <c r="H110" s="29"/>
      <c r="I110" s="29"/>
      <c r="J110" s="29"/>
      <c r="K110" s="43" t="s">
        <v>4</v>
      </c>
      <c r="L110" s="43" t="s">
        <v>4</v>
      </c>
      <c r="M110" s="43">
        <v>636</v>
      </c>
      <c r="N110">
        <v>0</v>
      </c>
      <c r="O110">
        <v>29192</v>
      </c>
      <c r="P110">
        <v>391281</v>
      </c>
    </row>
    <row r="111" spans="1:20">
      <c r="A111" t="e">
        <f>A109+1</f>
        <v>#REF!</v>
      </c>
      <c r="B111" s="23" t="s">
        <v>663</v>
      </c>
      <c r="C111" s="53">
        <f>SUBTOTAL(9,C112:C129)</f>
        <v>8017560</v>
      </c>
      <c r="D111" s="53">
        <f t="shared" ref="D111:P111" si="63">SUBTOTAL(9,D112:D129)</f>
        <v>7817560</v>
      </c>
      <c r="E111" s="53">
        <f t="shared" si="63"/>
        <v>9468864</v>
      </c>
      <c r="F111" s="53">
        <f t="shared" si="63"/>
        <v>8849763</v>
      </c>
      <c r="G111" s="53">
        <f t="shared" si="63"/>
        <v>8742300</v>
      </c>
      <c r="H111" s="53">
        <f t="shared" si="63"/>
        <v>7616543</v>
      </c>
      <c r="I111" s="53">
        <f t="shared" si="63"/>
        <v>7184458</v>
      </c>
      <c r="J111" s="53">
        <f t="shared" si="63"/>
        <v>7954573</v>
      </c>
      <c r="K111" s="53">
        <f t="shared" si="63"/>
        <v>7677233</v>
      </c>
      <c r="L111" s="53">
        <f t="shared" si="63"/>
        <v>7949048</v>
      </c>
      <c r="M111" s="53">
        <f t="shared" si="63"/>
        <v>6195923</v>
      </c>
      <c r="N111" s="53">
        <f t="shared" si="63"/>
        <v>6366566</v>
      </c>
      <c r="O111" s="53">
        <f t="shared" si="63"/>
        <v>4503372</v>
      </c>
      <c r="P111" s="53">
        <f t="shared" si="63"/>
        <v>4691173</v>
      </c>
      <c r="Q111" s="53">
        <f t="shared" ref="Q111" si="64">SUBTOTAL(9,Q112:Q129)</f>
        <v>0</v>
      </c>
      <c r="R111" s="53">
        <f t="shared" ref="R111" si="65">SUBTOTAL(9,R112:R129)</f>
        <v>0</v>
      </c>
      <c r="S111" s="53">
        <f t="shared" ref="S111" si="66">SUBTOTAL(9,S112:S129)</f>
        <v>0</v>
      </c>
      <c r="T111" s="53">
        <f t="shared" ref="T111" si="67">SUBTOTAL(9,T112:T129)</f>
        <v>0</v>
      </c>
    </row>
    <row r="112" spans="1:20">
      <c r="A112" t="e">
        <f t="shared" si="35"/>
        <v>#REF!</v>
      </c>
      <c r="B112" s="23" t="s">
        <v>246</v>
      </c>
      <c r="C112" s="53">
        <f t="shared" ref="C112" si="68">SUBTOTAL(9,C113:C117)</f>
        <v>1377335</v>
      </c>
      <c r="D112" s="53">
        <f t="shared" ref="D112" si="69">SUBTOTAL(9,D113:D117)</f>
        <v>1377335</v>
      </c>
      <c r="E112" s="53">
        <f t="shared" ref="E112:P112" si="70">SUBTOTAL(9,E113:E117)</f>
        <v>1418292</v>
      </c>
      <c r="F112" s="53">
        <f t="shared" si="70"/>
        <v>1416464</v>
      </c>
      <c r="G112" s="53">
        <f t="shared" si="70"/>
        <v>1412436</v>
      </c>
      <c r="H112" s="53">
        <f t="shared" si="70"/>
        <v>1227942</v>
      </c>
      <c r="I112" s="53">
        <f t="shared" si="70"/>
        <v>1103176</v>
      </c>
      <c r="J112" s="53">
        <f t="shared" si="70"/>
        <v>1013991</v>
      </c>
      <c r="K112" s="53">
        <f t="shared" si="70"/>
        <v>1049538</v>
      </c>
      <c r="L112" s="53">
        <f t="shared" si="70"/>
        <v>1478264</v>
      </c>
      <c r="M112" s="53">
        <f t="shared" si="70"/>
        <v>530733</v>
      </c>
      <c r="N112" s="53">
        <f t="shared" si="70"/>
        <v>898489</v>
      </c>
      <c r="O112" s="53">
        <f t="shared" si="70"/>
        <v>601304</v>
      </c>
      <c r="P112" s="53">
        <f t="shared" si="70"/>
        <v>544493</v>
      </c>
      <c r="Q112" s="53">
        <f t="shared" ref="Q112" si="71">SUBTOTAL(9,Q113:Q117)</f>
        <v>0</v>
      </c>
      <c r="R112" s="53">
        <f t="shared" ref="R112" si="72">SUBTOTAL(9,R113:R117)</f>
        <v>0</v>
      </c>
      <c r="S112" s="53">
        <f t="shared" ref="S112" si="73">SUBTOTAL(9,S113:S117)</f>
        <v>0</v>
      </c>
      <c r="T112" s="53">
        <f t="shared" ref="T112" si="74">SUBTOTAL(9,T113:T117)</f>
        <v>0</v>
      </c>
    </row>
    <row r="113" spans="1:20">
      <c r="A113" t="e">
        <f t="shared" si="35"/>
        <v>#REF!</v>
      </c>
      <c r="B113" t="s">
        <v>247</v>
      </c>
      <c r="C113">
        <v>1361015</v>
      </c>
      <c r="D113">
        <v>1361015</v>
      </c>
      <c r="E113">
        <v>1416762</v>
      </c>
      <c r="F113">
        <v>1413587</v>
      </c>
      <c r="G113">
        <v>1411128</v>
      </c>
      <c r="H113" s="29">
        <v>1214372</v>
      </c>
      <c r="I113" s="29">
        <v>1091475</v>
      </c>
      <c r="J113" s="29">
        <v>985944</v>
      </c>
      <c r="K113" s="43">
        <v>1029783</v>
      </c>
      <c r="L113" s="43">
        <v>1457177</v>
      </c>
      <c r="M113" s="43">
        <v>505603</v>
      </c>
      <c r="N113">
        <v>880105</v>
      </c>
      <c r="O113">
        <v>568257</v>
      </c>
      <c r="P113">
        <v>402124</v>
      </c>
    </row>
    <row r="114" spans="1:20">
      <c r="A114" t="e">
        <f t="shared" si="35"/>
        <v>#REF!</v>
      </c>
      <c r="B114" t="s">
        <v>248</v>
      </c>
      <c r="C114">
        <v>16320</v>
      </c>
      <c r="D114">
        <v>16320</v>
      </c>
      <c r="E114">
        <v>1530</v>
      </c>
      <c r="F114">
        <v>2877</v>
      </c>
      <c r="G114">
        <v>1308</v>
      </c>
      <c r="H114" s="29">
        <v>7485</v>
      </c>
      <c r="I114" s="29">
        <v>7191</v>
      </c>
      <c r="J114" s="29">
        <v>27947</v>
      </c>
      <c r="K114" s="43">
        <v>19755</v>
      </c>
      <c r="L114" s="43">
        <v>21087</v>
      </c>
      <c r="M114" s="43">
        <v>25130</v>
      </c>
      <c r="N114">
        <v>0</v>
      </c>
      <c r="O114">
        <v>0</v>
      </c>
      <c r="P114">
        <v>123316</v>
      </c>
    </row>
    <row r="115" spans="1:20">
      <c r="A115" t="e">
        <f t="shared" si="35"/>
        <v>#REF!</v>
      </c>
      <c r="B115" t="s">
        <v>249</v>
      </c>
      <c r="E115" s="29">
        <v>0</v>
      </c>
      <c r="F115" s="29">
        <v>0</v>
      </c>
      <c r="G115" s="29">
        <v>0</v>
      </c>
      <c r="H115" s="29">
        <v>0</v>
      </c>
      <c r="I115" s="29">
        <v>4510</v>
      </c>
      <c r="J115" s="29">
        <v>100</v>
      </c>
      <c r="K115">
        <v>0</v>
      </c>
      <c r="L115">
        <v>0</v>
      </c>
      <c r="M115" s="43">
        <v>0</v>
      </c>
      <c r="N115">
        <v>18384</v>
      </c>
      <c r="O115">
        <v>21654</v>
      </c>
      <c r="P115">
        <v>15753</v>
      </c>
    </row>
    <row r="116" spans="1:20">
      <c r="A116" t="e">
        <f t="shared" si="35"/>
        <v>#REF!</v>
      </c>
      <c r="B116" t="s">
        <v>250</v>
      </c>
      <c r="E116" s="29">
        <v>0</v>
      </c>
      <c r="F116" s="29">
        <v>0</v>
      </c>
      <c r="G116" s="29">
        <v>0</v>
      </c>
      <c r="H116" s="29">
        <v>85</v>
      </c>
      <c r="I116" s="29">
        <v>0</v>
      </c>
      <c r="J116" s="29">
        <v>0</v>
      </c>
      <c r="K116" s="29">
        <v>0</v>
      </c>
      <c r="L116" s="29">
        <v>0</v>
      </c>
      <c r="M116" s="29">
        <v>0</v>
      </c>
      <c r="N116">
        <v>0</v>
      </c>
      <c r="O116">
        <v>11393</v>
      </c>
      <c r="P116">
        <v>3300</v>
      </c>
    </row>
    <row r="117" spans="1:20">
      <c r="A117" t="e">
        <f t="shared" si="35"/>
        <v>#REF!</v>
      </c>
      <c r="B117" t="s">
        <v>251</v>
      </c>
      <c r="E117" s="29">
        <v>0</v>
      </c>
      <c r="F117" s="29">
        <v>0</v>
      </c>
      <c r="G117" s="29">
        <v>0</v>
      </c>
      <c r="H117" s="29">
        <v>6000</v>
      </c>
      <c r="I117" s="29">
        <v>0</v>
      </c>
      <c r="J117" s="29">
        <v>0</v>
      </c>
      <c r="K117" s="29">
        <v>0</v>
      </c>
      <c r="L117" s="29">
        <v>0</v>
      </c>
      <c r="M117" s="29">
        <v>0</v>
      </c>
      <c r="N117" s="29">
        <v>0</v>
      </c>
      <c r="O117" s="29">
        <v>0</v>
      </c>
      <c r="P117" s="29">
        <v>0</v>
      </c>
    </row>
    <row r="118" spans="1:20">
      <c r="A118" t="e">
        <f t="shared" si="35"/>
        <v>#REF!</v>
      </c>
      <c r="B118" s="23" t="s">
        <v>252</v>
      </c>
      <c r="C118" s="53">
        <f t="shared" ref="C118:T118" si="75">SUBTOTAL(9,C119:C120)</f>
        <v>0</v>
      </c>
      <c r="D118" s="53">
        <f t="shared" si="75"/>
        <v>0</v>
      </c>
      <c r="E118" s="53">
        <f t="shared" si="75"/>
        <v>0</v>
      </c>
      <c r="F118" s="53">
        <f t="shared" si="75"/>
        <v>50500</v>
      </c>
      <c r="G118" s="53">
        <f t="shared" si="75"/>
        <v>17234</v>
      </c>
      <c r="H118" s="53">
        <f t="shared" si="75"/>
        <v>-115151</v>
      </c>
      <c r="I118" s="53">
        <f t="shared" si="75"/>
        <v>2500</v>
      </c>
      <c r="J118" s="53">
        <f t="shared" si="75"/>
        <v>2500</v>
      </c>
      <c r="K118" s="53">
        <f t="shared" si="75"/>
        <v>23850</v>
      </c>
      <c r="L118" s="53">
        <f t="shared" si="75"/>
        <v>45000</v>
      </c>
      <c r="M118" s="53">
        <f t="shared" si="75"/>
        <v>20000</v>
      </c>
      <c r="N118" s="53">
        <f t="shared" si="75"/>
        <v>20000</v>
      </c>
      <c r="O118" s="53">
        <f t="shared" si="75"/>
        <v>20000</v>
      </c>
      <c r="P118" s="53">
        <f t="shared" si="75"/>
        <v>45300</v>
      </c>
      <c r="Q118" s="53">
        <f t="shared" si="75"/>
        <v>0</v>
      </c>
      <c r="R118" s="53">
        <f t="shared" si="75"/>
        <v>0</v>
      </c>
      <c r="S118" s="53">
        <f t="shared" si="75"/>
        <v>0</v>
      </c>
      <c r="T118" s="53">
        <f t="shared" si="75"/>
        <v>0</v>
      </c>
    </row>
    <row r="119" spans="1:20">
      <c r="A119" t="e">
        <f t="shared" si="35"/>
        <v>#REF!</v>
      </c>
      <c r="B119" t="s">
        <v>253</v>
      </c>
      <c r="C119">
        <v>0</v>
      </c>
      <c r="D119">
        <v>0</v>
      </c>
      <c r="E119" s="29">
        <v>0</v>
      </c>
      <c r="F119" s="29">
        <v>8000</v>
      </c>
      <c r="G119">
        <v>5000</v>
      </c>
      <c r="H119" s="29">
        <v>3500</v>
      </c>
      <c r="I119" s="29">
        <v>2500</v>
      </c>
      <c r="J119" s="29">
        <v>2500</v>
      </c>
      <c r="K119" s="43">
        <v>23850</v>
      </c>
      <c r="L119" s="43">
        <v>20000</v>
      </c>
      <c r="M119" s="43">
        <v>20000</v>
      </c>
      <c r="N119">
        <v>20000</v>
      </c>
      <c r="O119">
        <v>20000</v>
      </c>
      <c r="P119">
        <v>20000</v>
      </c>
    </row>
    <row r="120" spans="1:20">
      <c r="A120" t="e">
        <f t="shared" si="35"/>
        <v>#REF!</v>
      </c>
      <c r="B120" t="s">
        <v>254</v>
      </c>
      <c r="C120">
        <v>0</v>
      </c>
      <c r="D120">
        <v>0</v>
      </c>
      <c r="E120" s="29">
        <v>0</v>
      </c>
      <c r="F120" s="29">
        <v>42500</v>
      </c>
      <c r="G120">
        <v>12234</v>
      </c>
      <c r="H120" s="29">
        <v>-118651</v>
      </c>
      <c r="I120" s="29">
        <v>0</v>
      </c>
      <c r="J120" s="29">
        <v>0</v>
      </c>
      <c r="K120" t="s">
        <v>4</v>
      </c>
      <c r="L120">
        <v>25000</v>
      </c>
      <c r="M120" t="s">
        <v>4</v>
      </c>
      <c r="N120">
        <v>0</v>
      </c>
      <c r="O120">
        <v>0</v>
      </c>
      <c r="P120">
        <v>25300</v>
      </c>
    </row>
    <row r="121" spans="1:20">
      <c r="A121" t="e">
        <f t="shared" si="35"/>
        <v>#REF!</v>
      </c>
      <c r="B121" s="23" t="s">
        <v>255</v>
      </c>
      <c r="C121" s="53">
        <f t="shared" ref="C121:T121" si="76">SUBTOTAL(9,C122:C126)</f>
        <v>6640225</v>
      </c>
      <c r="D121" s="53">
        <f t="shared" si="76"/>
        <v>6440225</v>
      </c>
      <c r="E121" s="53">
        <f t="shared" si="76"/>
        <v>7926494</v>
      </c>
      <c r="F121" s="53">
        <f t="shared" si="76"/>
        <v>7310266</v>
      </c>
      <c r="G121" s="53">
        <f t="shared" si="76"/>
        <v>7297630</v>
      </c>
      <c r="H121" s="53">
        <f t="shared" si="76"/>
        <v>6503752</v>
      </c>
      <c r="I121" s="53">
        <f t="shared" si="76"/>
        <v>6063782</v>
      </c>
      <c r="J121" s="53">
        <f t="shared" si="76"/>
        <v>6937932</v>
      </c>
      <c r="K121" s="53">
        <f t="shared" si="76"/>
        <v>6599678</v>
      </c>
      <c r="L121" s="53">
        <f t="shared" si="76"/>
        <v>6425784</v>
      </c>
      <c r="M121" s="53">
        <f t="shared" si="76"/>
        <v>5645190</v>
      </c>
      <c r="N121" s="53">
        <f t="shared" si="76"/>
        <v>5383077</v>
      </c>
      <c r="O121" s="53">
        <f t="shared" si="76"/>
        <v>3872068</v>
      </c>
      <c r="P121" s="53">
        <f t="shared" si="76"/>
        <v>4101380</v>
      </c>
      <c r="Q121" s="53">
        <f t="shared" si="76"/>
        <v>0</v>
      </c>
      <c r="R121" s="53">
        <f t="shared" si="76"/>
        <v>0</v>
      </c>
      <c r="S121" s="53">
        <f t="shared" si="76"/>
        <v>0</v>
      </c>
      <c r="T121" s="53">
        <f t="shared" si="76"/>
        <v>0</v>
      </c>
    </row>
    <row r="122" spans="1:20">
      <c r="A122" t="e">
        <f t="shared" si="35"/>
        <v>#REF!</v>
      </c>
      <c r="B122" t="s">
        <v>245</v>
      </c>
      <c r="C122">
        <v>1181854</v>
      </c>
      <c r="D122">
        <v>1181854</v>
      </c>
      <c r="E122">
        <v>1184263</v>
      </c>
      <c r="F122">
        <v>968672</v>
      </c>
      <c r="G122">
        <v>1275420</v>
      </c>
      <c r="H122" s="29">
        <v>1182226</v>
      </c>
      <c r="I122" s="29">
        <v>1009071</v>
      </c>
      <c r="J122" s="29">
        <v>2353461</v>
      </c>
      <c r="K122" s="43">
        <v>1908242</v>
      </c>
      <c r="L122" s="43">
        <v>1754980</v>
      </c>
      <c r="M122" s="43">
        <v>1393783</v>
      </c>
      <c r="N122">
        <v>1618142</v>
      </c>
      <c r="O122">
        <v>1056613</v>
      </c>
      <c r="P122">
        <v>1181024</v>
      </c>
    </row>
    <row r="123" spans="1:20">
      <c r="A123" t="e">
        <f t="shared" si="35"/>
        <v>#REF!</v>
      </c>
      <c r="B123" t="s">
        <v>256</v>
      </c>
      <c r="C123">
        <v>5347971</v>
      </c>
      <c r="D123">
        <v>5147971</v>
      </c>
      <c r="E123">
        <v>6742231</v>
      </c>
      <c r="F123">
        <v>6341594</v>
      </c>
      <c r="G123">
        <v>6022210</v>
      </c>
      <c r="H123" s="29">
        <v>5292330</v>
      </c>
      <c r="I123" s="29">
        <v>5009324</v>
      </c>
      <c r="J123" s="29">
        <v>4433860</v>
      </c>
      <c r="K123" s="43">
        <v>4544069</v>
      </c>
      <c r="L123" s="43">
        <v>4471712</v>
      </c>
      <c r="M123" s="43">
        <v>4057729</v>
      </c>
      <c r="N123">
        <v>3685789</v>
      </c>
      <c r="O123">
        <v>2634533</v>
      </c>
      <c r="P123">
        <v>2626400</v>
      </c>
    </row>
    <row r="124" spans="1:20">
      <c r="A124" t="e">
        <f t="shared" si="35"/>
        <v>#REF!</v>
      </c>
      <c r="B124" t="s">
        <v>257</v>
      </c>
      <c r="C124">
        <v>90000</v>
      </c>
      <c r="D124">
        <v>90000</v>
      </c>
      <c r="E124">
        <v>0</v>
      </c>
      <c r="F124">
        <v>0</v>
      </c>
      <c r="H124" s="29">
        <v>0</v>
      </c>
      <c r="I124" s="29">
        <v>3830</v>
      </c>
      <c r="J124" s="29">
        <v>91279</v>
      </c>
      <c r="K124" s="43">
        <v>93576</v>
      </c>
      <c r="L124" s="43">
        <v>144768</v>
      </c>
      <c r="M124" s="43">
        <v>135422</v>
      </c>
      <c r="N124">
        <v>-7404</v>
      </c>
      <c r="O124">
        <v>98083</v>
      </c>
      <c r="P124">
        <v>250122</v>
      </c>
    </row>
    <row r="125" spans="1:20">
      <c r="A125" t="e">
        <f t="shared" si="35"/>
        <v>#REF!</v>
      </c>
      <c r="B125" t="s">
        <v>258</v>
      </c>
      <c r="H125" s="29">
        <v>0</v>
      </c>
      <c r="I125" s="29">
        <v>0</v>
      </c>
      <c r="J125" s="29">
        <v>23500</v>
      </c>
      <c r="K125" s="43">
        <v>23054</v>
      </c>
      <c r="L125" s="43">
        <v>21400</v>
      </c>
      <c r="M125" s="43">
        <v>38100</v>
      </c>
      <c r="N125">
        <v>61700</v>
      </c>
      <c r="O125">
        <v>56200</v>
      </c>
      <c r="P125">
        <v>23400</v>
      </c>
    </row>
    <row r="126" spans="1:20">
      <c r="A126" t="e">
        <f t="shared" si="35"/>
        <v>#REF!</v>
      </c>
      <c r="B126" t="s">
        <v>259</v>
      </c>
      <c r="C126">
        <v>20400</v>
      </c>
      <c r="D126">
        <v>20400</v>
      </c>
      <c r="E126" s="29">
        <v>0</v>
      </c>
      <c r="F126" s="29">
        <v>0</v>
      </c>
      <c r="G126" s="29"/>
      <c r="H126" s="29">
        <v>29196</v>
      </c>
      <c r="I126" s="29">
        <v>41557</v>
      </c>
      <c r="J126" s="29">
        <v>35832</v>
      </c>
      <c r="K126" s="43">
        <v>30737</v>
      </c>
      <c r="L126" s="43">
        <v>32924</v>
      </c>
      <c r="M126" s="43">
        <v>20156</v>
      </c>
      <c r="N126">
        <v>24850</v>
      </c>
      <c r="O126">
        <v>26639</v>
      </c>
      <c r="P126">
        <v>20434</v>
      </c>
    </row>
    <row r="127" spans="1:20">
      <c r="A127" t="e">
        <f t="shared" si="35"/>
        <v>#REF!</v>
      </c>
      <c r="B127" s="23" t="s">
        <v>260</v>
      </c>
      <c r="C127" s="53">
        <f t="shared" ref="C127:F127" si="77">SUBTOTAL(9,C128:C129)</f>
        <v>0</v>
      </c>
      <c r="D127" s="53">
        <f t="shared" si="77"/>
        <v>0</v>
      </c>
      <c r="E127" s="53">
        <f t="shared" si="77"/>
        <v>124078</v>
      </c>
      <c r="F127" s="53">
        <f t="shared" si="77"/>
        <v>72533</v>
      </c>
      <c r="G127" s="53">
        <f>SUBTOTAL(9,G128:G129)</f>
        <v>15000</v>
      </c>
      <c r="H127" s="53">
        <f t="shared" ref="H127:M127" si="78">SUBTOTAL(9,H128:H129)</f>
        <v>0</v>
      </c>
      <c r="I127" s="53">
        <f t="shared" si="78"/>
        <v>15000</v>
      </c>
      <c r="J127" s="53">
        <f t="shared" si="78"/>
        <v>150</v>
      </c>
      <c r="K127" s="53">
        <f t="shared" si="78"/>
        <v>4167</v>
      </c>
      <c r="L127" s="53">
        <f t="shared" si="78"/>
        <v>0</v>
      </c>
      <c r="M127" s="53">
        <f t="shared" si="78"/>
        <v>0</v>
      </c>
      <c r="N127" s="53">
        <f t="shared" ref="N127:P127" si="79">SUBTOTAL(9,N129:N129)</f>
        <v>65000</v>
      </c>
      <c r="O127" s="53">
        <f t="shared" si="79"/>
        <v>10000</v>
      </c>
      <c r="P127" s="53">
        <f t="shared" si="79"/>
        <v>0</v>
      </c>
      <c r="T127" s="23"/>
    </row>
    <row r="128" spans="1:20">
      <c r="A128" t="e">
        <f t="shared" si="35"/>
        <v>#REF!</v>
      </c>
      <c r="B128" s="24" t="s">
        <v>1033</v>
      </c>
      <c r="C128" s="23"/>
      <c r="D128" s="23"/>
      <c r="E128" s="150">
        <v>124078</v>
      </c>
      <c r="F128" s="151">
        <v>72533</v>
      </c>
      <c r="G128" s="53"/>
      <c r="H128" s="53"/>
      <c r="I128" s="53"/>
      <c r="J128" s="53"/>
      <c r="K128" s="53"/>
      <c r="L128" s="53"/>
      <c r="M128" s="53"/>
      <c r="N128" s="53"/>
      <c r="O128" s="53"/>
      <c r="P128" s="53"/>
      <c r="T128" s="23"/>
    </row>
    <row r="129" spans="1:20">
      <c r="A129" t="e">
        <f t="shared" si="35"/>
        <v>#REF!</v>
      </c>
      <c r="B129" t="s">
        <v>261</v>
      </c>
      <c r="C129">
        <v>0</v>
      </c>
      <c r="D129">
        <v>0</v>
      </c>
      <c r="E129" s="29">
        <v>0</v>
      </c>
      <c r="F129" s="29">
        <v>0</v>
      </c>
      <c r="G129" s="29">
        <v>15000</v>
      </c>
      <c r="H129" s="29">
        <v>0</v>
      </c>
      <c r="I129" s="29">
        <v>15000</v>
      </c>
      <c r="J129" s="29">
        <v>150</v>
      </c>
      <c r="K129" s="43">
        <v>4167</v>
      </c>
      <c r="L129" s="43" t="s">
        <v>4</v>
      </c>
      <c r="M129" s="43" t="s">
        <v>4</v>
      </c>
      <c r="N129">
        <v>65000</v>
      </c>
      <c r="O129">
        <v>10000</v>
      </c>
      <c r="P129">
        <v>0</v>
      </c>
    </row>
    <row r="130" spans="1:20">
      <c r="A130" t="e">
        <f t="shared" si="35"/>
        <v>#REF!</v>
      </c>
      <c r="B130" s="23" t="s">
        <v>664</v>
      </c>
      <c r="C130" s="53">
        <f t="shared" ref="C130" si="80">SUBTOTAL(9,C131:C143)</f>
        <v>3181144</v>
      </c>
      <c r="D130" s="53">
        <f t="shared" ref="D130" si="81">SUBTOTAL(9,D131:D143)</f>
        <v>2981144</v>
      </c>
      <c r="E130" s="53">
        <f t="shared" ref="E130:K130" si="82">SUBTOTAL(9,E131:E143)</f>
        <v>3599022</v>
      </c>
      <c r="F130" s="53">
        <f t="shared" si="82"/>
        <v>3154149</v>
      </c>
      <c r="G130" s="53">
        <f t="shared" si="82"/>
        <v>3078299</v>
      </c>
      <c r="H130" s="53">
        <f t="shared" si="82"/>
        <v>3159048</v>
      </c>
      <c r="I130" s="53">
        <f t="shared" si="82"/>
        <v>3180926</v>
      </c>
      <c r="J130" s="53">
        <f t="shared" si="82"/>
        <v>3101491</v>
      </c>
      <c r="K130" s="53">
        <f t="shared" si="82"/>
        <v>3197063</v>
      </c>
      <c r="L130" s="53">
        <f t="shared" ref="L130" si="83">SUBTOTAL(9,L131:L143)</f>
        <v>2979572</v>
      </c>
      <c r="M130" s="53">
        <f t="shared" ref="M130:T130" si="84">SUBTOTAL(9,M131:M143)</f>
        <v>2835927</v>
      </c>
      <c r="N130" s="53">
        <f t="shared" si="84"/>
        <v>2957002</v>
      </c>
      <c r="O130" s="53">
        <f t="shared" si="84"/>
        <v>2669755</v>
      </c>
      <c r="P130" s="53">
        <f t="shared" si="84"/>
        <v>2527429</v>
      </c>
      <c r="Q130" s="53">
        <f t="shared" si="84"/>
        <v>0</v>
      </c>
      <c r="R130" s="53">
        <f t="shared" si="84"/>
        <v>0</v>
      </c>
      <c r="S130" s="53">
        <f t="shared" si="84"/>
        <v>0</v>
      </c>
      <c r="T130" s="53">
        <f t="shared" si="84"/>
        <v>0</v>
      </c>
    </row>
    <row r="131" spans="1:20">
      <c r="A131" t="e">
        <f t="shared" si="35"/>
        <v>#REF!</v>
      </c>
      <c r="B131" s="23" t="s">
        <v>262</v>
      </c>
      <c r="C131" s="53">
        <f t="shared" ref="C131" si="85">SUBTOTAL(9,C132:C135)</f>
        <v>3006344</v>
      </c>
      <c r="D131" s="53">
        <f t="shared" ref="D131" si="86">SUBTOTAL(9,D132:D135)</f>
        <v>2806344</v>
      </c>
      <c r="E131" s="53">
        <f t="shared" ref="E131:P131" si="87">SUBTOTAL(9,E132:E135)</f>
        <v>3335946</v>
      </c>
      <c r="F131" s="53">
        <f t="shared" si="87"/>
        <v>2873245</v>
      </c>
      <c r="G131" s="53">
        <f t="shared" si="87"/>
        <v>2834801</v>
      </c>
      <c r="H131" s="53">
        <f t="shared" si="87"/>
        <v>2846761</v>
      </c>
      <c r="I131" s="53">
        <f t="shared" si="87"/>
        <v>2976333</v>
      </c>
      <c r="J131" s="53">
        <f t="shared" si="87"/>
        <v>2925056</v>
      </c>
      <c r="K131" s="53">
        <f t="shared" si="87"/>
        <v>3004267</v>
      </c>
      <c r="L131" s="53">
        <f t="shared" si="87"/>
        <v>2793458</v>
      </c>
      <c r="M131" s="53">
        <f t="shared" si="87"/>
        <v>2547068</v>
      </c>
      <c r="N131" s="53">
        <f t="shared" si="87"/>
        <v>2644551</v>
      </c>
      <c r="O131" s="53">
        <f t="shared" si="87"/>
        <v>2316566</v>
      </c>
      <c r="P131" s="53">
        <f t="shared" si="87"/>
        <v>2378499</v>
      </c>
      <c r="Q131" s="53">
        <f t="shared" ref="Q131" si="88">SUBTOTAL(9,Q132:Q135)</f>
        <v>0</v>
      </c>
      <c r="R131" s="53">
        <f t="shared" ref="R131" si="89">SUBTOTAL(9,R132:R135)</f>
        <v>0</v>
      </c>
      <c r="S131" s="53">
        <f t="shared" ref="S131" si="90">SUBTOTAL(9,S132:S135)</f>
        <v>0</v>
      </c>
      <c r="T131" s="53">
        <f t="shared" ref="T131" si="91">SUBTOTAL(9,T132:T135)</f>
        <v>0</v>
      </c>
    </row>
    <row r="132" spans="1:20">
      <c r="A132" t="e">
        <f t="shared" si="35"/>
        <v>#REF!</v>
      </c>
      <c r="B132" t="s">
        <v>263</v>
      </c>
      <c r="C132">
        <v>1357445</v>
      </c>
      <c r="D132">
        <v>1357445</v>
      </c>
      <c r="E132">
        <v>1449227</v>
      </c>
      <c r="F132">
        <v>1264124</v>
      </c>
      <c r="G132">
        <v>1271072</v>
      </c>
      <c r="H132" s="29">
        <v>1227173</v>
      </c>
      <c r="I132" s="29">
        <v>1340975</v>
      </c>
      <c r="J132" s="29">
        <v>1312254</v>
      </c>
      <c r="K132" s="43">
        <v>1377623</v>
      </c>
      <c r="L132" s="43">
        <v>1225056</v>
      </c>
      <c r="M132" s="43">
        <v>1109039</v>
      </c>
      <c r="N132">
        <v>1096621</v>
      </c>
      <c r="O132">
        <v>951659</v>
      </c>
      <c r="P132">
        <v>986232</v>
      </c>
    </row>
    <row r="133" spans="1:20">
      <c r="A133" t="e">
        <f t="shared" si="35"/>
        <v>#REF!</v>
      </c>
      <c r="B133" s="24" t="s">
        <v>674</v>
      </c>
      <c r="C133" s="52">
        <v>1620000</v>
      </c>
      <c r="D133" s="52">
        <v>1420000</v>
      </c>
      <c r="E133" s="43">
        <v>1534350</v>
      </c>
      <c r="F133" s="43">
        <v>1387157</v>
      </c>
      <c r="G133">
        <v>1365372</v>
      </c>
      <c r="H133" s="29">
        <v>1387858</v>
      </c>
      <c r="I133" s="29">
        <v>1439416</v>
      </c>
      <c r="J133" s="29">
        <v>1523512</v>
      </c>
      <c r="K133" s="43">
        <v>1593743</v>
      </c>
      <c r="L133" s="43">
        <v>1539502</v>
      </c>
      <c r="M133" s="43">
        <v>1409979</v>
      </c>
      <c r="N133">
        <v>1509790</v>
      </c>
      <c r="O133">
        <v>1324236</v>
      </c>
      <c r="P133">
        <v>1356291</v>
      </c>
    </row>
    <row r="134" spans="1:20">
      <c r="A134" t="e">
        <f t="shared" si="35"/>
        <v>#REF!</v>
      </c>
      <c r="B134" s="24" t="s">
        <v>675</v>
      </c>
      <c r="C134" s="52">
        <v>28899</v>
      </c>
      <c r="D134" s="52">
        <v>28899</v>
      </c>
      <c r="E134" s="43">
        <v>352369</v>
      </c>
      <c r="F134" s="43">
        <v>224932</v>
      </c>
      <c r="G134">
        <v>196199</v>
      </c>
      <c r="H134" s="29">
        <v>231730</v>
      </c>
      <c r="I134" s="29">
        <v>220343</v>
      </c>
      <c r="J134" s="29">
        <v>47855</v>
      </c>
      <c r="K134" s="43">
        <v>28899</v>
      </c>
      <c r="L134" s="43">
        <v>28900</v>
      </c>
      <c r="M134" s="43">
        <v>28050</v>
      </c>
      <c r="N134">
        <v>38140</v>
      </c>
      <c r="O134">
        <v>40671</v>
      </c>
      <c r="P134">
        <v>35976</v>
      </c>
    </row>
    <row r="135" spans="1:20">
      <c r="A135" t="e">
        <f t="shared" si="35"/>
        <v>#REF!</v>
      </c>
      <c r="B135" t="s">
        <v>264</v>
      </c>
      <c r="C135">
        <v>0</v>
      </c>
      <c r="D135">
        <v>0</v>
      </c>
      <c r="E135">
        <v>0</v>
      </c>
      <c r="F135">
        <v>-2968</v>
      </c>
      <c r="G135">
        <v>2158</v>
      </c>
      <c r="H135" s="29">
        <v>0</v>
      </c>
      <c r="I135" s="29">
        <v>-24401</v>
      </c>
      <c r="J135" s="29">
        <v>41435</v>
      </c>
      <c r="K135" s="43">
        <v>4002</v>
      </c>
      <c r="L135" s="43" t="s">
        <v>4</v>
      </c>
      <c r="M135" s="43" t="s">
        <v>4</v>
      </c>
      <c r="N135" s="43" t="s">
        <v>4</v>
      </c>
      <c r="O135" s="43" t="s">
        <v>4</v>
      </c>
      <c r="P135" s="43" t="s">
        <v>4</v>
      </c>
    </row>
    <row r="136" spans="1:20">
      <c r="A136" t="e">
        <f t="shared" si="35"/>
        <v>#REF!</v>
      </c>
      <c r="B136" s="23" t="s">
        <v>265</v>
      </c>
      <c r="C136" s="53">
        <f t="shared" ref="C136:E136" si="92">SUBTOTAL(9,C137:C139)</f>
        <v>174800</v>
      </c>
      <c r="D136" s="53">
        <f t="shared" si="92"/>
        <v>174800</v>
      </c>
      <c r="E136" s="53">
        <f t="shared" si="92"/>
        <v>263019</v>
      </c>
      <c r="F136" s="53">
        <f t="shared" ref="F136:T136" si="93">SUBTOTAL(9,F137:F139)</f>
        <v>280541</v>
      </c>
      <c r="G136" s="53">
        <f t="shared" si="93"/>
        <v>243060</v>
      </c>
      <c r="H136" s="53">
        <f t="shared" si="93"/>
        <v>312287</v>
      </c>
      <c r="I136" s="53">
        <f t="shared" si="93"/>
        <v>204593</v>
      </c>
      <c r="J136" s="53">
        <f t="shared" si="93"/>
        <v>176435</v>
      </c>
      <c r="K136" s="53">
        <f t="shared" si="93"/>
        <v>192796</v>
      </c>
      <c r="L136" s="53">
        <f t="shared" si="93"/>
        <v>185691</v>
      </c>
      <c r="M136" s="53">
        <f t="shared" si="93"/>
        <v>265698</v>
      </c>
      <c r="N136" s="53">
        <f t="shared" si="93"/>
        <v>257285</v>
      </c>
      <c r="O136" s="53">
        <f t="shared" si="93"/>
        <v>353021</v>
      </c>
      <c r="P136" s="53">
        <f t="shared" si="93"/>
        <v>148854</v>
      </c>
      <c r="Q136" s="53">
        <f t="shared" si="93"/>
        <v>0</v>
      </c>
      <c r="R136" s="53">
        <f t="shared" si="93"/>
        <v>0</v>
      </c>
      <c r="S136" s="53">
        <f t="shared" si="93"/>
        <v>0</v>
      </c>
      <c r="T136" s="53">
        <f t="shared" si="93"/>
        <v>0</v>
      </c>
    </row>
    <row r="137" spans="1:20">
      <c r="A137" t="e">
        <f t="shared" si="35"/>
        <v>#REF!</v>
      </c>
      <c r="B137" t="s">
        <v>266</v>
      </c>
      <c r="C137">
        <v>78000</v>
      </c>
      <c r="D137">
        <v>78000</v>
      </c>
      <c r="E137" s="29">
        <v>208678</v>
      </c>
      <c r="F137" s="29">
        <v>244610</v>
      </c>
      <c r="G137" s="29">
        <v>117742</v>
      </c>
      <c r="H137" s="29">
        <v>170625</v>
      </c>
      <c r="I137" s="29">
        <v>123334</v>
      </c>
      <c r="J137" s="29">
        <v>39269</v>
      </c>
      <c r="K137" s="43">
        <v>80680</v>
      </c>
      <c r="L137" s="43">
        <v>78009</v>
      </c>
      <c r="M137" s="43">
        <v>111534</v>
      </c>
      <c r="N137">
        <v>84840</v>
      </c>
      <c r="O137">
        <v>48352</v>
      </c>
      <c r="P137">
        <v>38262</v>
      </c>
    </row>
    <row r="138" spans="1:20">
      <c r="A138" t="e">
        <f t="shared" si="35"/>
        <v>#REF!</v>
      </c>
      <c r="B138" t="s">
        <v>267</v>
      </c>
      <c r="C138">
        <v>91800</v>
      </c>
      <c r="D138">
        <v>91800</v>
      </c>
      <c r="E138" s="29">
        <v>54341</v>
      </c>
      <c r="F138" s="29">
        <v>35931</v>
      </c>
      <c r="G138" s="29">
        <v>125318</v>
      </c>
      <c r="H138" s="29">
        <v>141662</v>
      </c>
      <c r="I138" s="29">
        <v>81259</v>
      </c>
      <c r="J138" s="29">
        <v>136613</v>
      </c>
      <c r="K138" s="43">
        <v>106543</v>
      </c>
      <c r="L138" s="43">
        <v>100106</v>
      </c>
      <c r="M138" s="43">
        <v>148418</v>
      </c>
      <c r="N138">
        <v>167435</v>
      </c>
      <c r="O138">
        <v>299424</v>
      </c>
      <c r="P138">
        <v>107606</v>
      </c>
    </row>
    <row r="139" spans="1:20">
      <c r="A139" t="e">
        <f t="shared" si="35"/>
        <v>#REF!</v>
      </c>
      <c r="B139" t="s">
        <v>268</v>
      </c>
      <c r="C139">
        <v>5000</v>
      </c>
      <c r="D139">
        <v>5000</v>
      </c>
      <c r="E139" s="29">
        <v>0</v>
      </c>
      <c r="F139" s="29">
        <v>0</v>
      </c>
      <c r="G139" s="29">
        <v>0</v>
      </c>
      <c r="H139" s="29">
        <v>0</v>
      </c>
      <c r="I139" s="29">
        <v>0</v>
      </c>
      <c r="J139" s="29">
        <v>553</v>
      </c>
      <c r="K139" s="43">
        <v>5573</v>
      </c>
      <c r="L139" s="43">
        <v>7576</v>
      </c>
      <c r="M139" s="43">
        <v>5746</v>
      </c>
      <c r="N139">
        <v>5010</v>
      </c>
      <c r="O139">
        <v>5245</v>
      </c>
      <c r="P139">
        <v>2986</v>
      </c>
    </row>
    <row r="140" spans="1:20">
      <c r="B140" s="23" t="s">
        <v>676</v>
      </c>
      <c r="C140" s="53">
        <f t="shared" ref="C140:F140" si="94">SUBTOTAL(9,C141:C143)</f>
        <v>0</v>
      </c>
      <c r="D140" s="53">
        <f t="shared" si="94"/>
        <v>0</v>
      </c>
      <c r="E140" s="53">
        <f t="shared" si="94"/>
        <v>57</v>
      </c>
      <c r="F140" s="53">
        <f t="shared" si="94"/>
        <v>363</v>
      </c>
      <c r="G140" s="53">
        <f t="shared" ref="G140:T140" si="95">SUBTOTAL(9,G141:G143)</f>
        <v>438</v>
      </c>
      <c r="H140" s="53">
        <f t="shared" si="95"/>
        <v>0</v>
      </c>
      <c r="I140" s="53">
        <f t="shared" si="95"/>
        <v>0</v>
      </c>
      <c r="J140" s="53">
        <f t="shared" si="95"/>
        <v>0</v>
      </c>
      <c r="K140" s="53">
        <f t="shared" si="95"/>
        <v>0</v>
      </c>
      <c r="L140" s="53">
        <f t="shared" si="95"/>
        <v>423</v>
      </c>
      <c r="M140" s="53">
        <f t="shared" si="95"/>
        <v>23161</v>
      </c>
      <c r="N140" s="53">
        <f t="shared" si="95"/>
        <v>55166</v>
      </c>
      <c r="O140" s="53">
        <f t="shared" si="95"/>
        <v>168</v>
      </c>
      <c r="P140" s="53">
        <f t="shared" si="95"/>
        <v>76</v>
      </c>
      <c r="Q140" s="53">
        <f t="shared" si="95"/>
        <v>0</v>
      </c>
      <c r="R140" s="53">
        <f t="shared" si="95"/>
        <v>0</v>
      </c>
      <c r="S140" s="53">
        <f t="shared" si="95"/>
        <v>0</v>
      </c>
      <c r="T140" s="53">
        <f t="shared" si="95"/>
        <v>0</v>
      </c>
    </row>
    <row r="141" spans="1:20">
      <c r="B141" s="24" t="s">
        <v>677</v>
      </c>
      <c r="C141" s="24"/>
      <c r="D141" s="24"/>
      <c r="E141" s="29"/>
      <c r="K141" s="43" t="s">
        <v>4</v>
      </c>
      <c r="L141" s="43">
        <v>417</v>
      </c>
      <c r="M141" s="43">
        <v>484</v>
      </c>
      <c r="N141">
        <v>363</v>
      </c>
      <c r="O141">
        <v>168</v>
      </c>
      <c r="P141">
        <v>76</v>
      </c>
    </row>
    <row r="142" spans="1:20">
      <c r="B142" s="24" t="s">
        <v>678</v>
      </c>
      <c r="C142" s="24"/>
      <c r="D142" s="24"/>
      <c r="E142" s="29"/>
      <c r="K142" s="43" t="s">
        <v>4</v>
      </c>
      <c r="L142" s="43" t="s">
        <v>4</v>
      </c>
      <c r="M142" s="43">
        <v>22677</v>
      </c>
      <c r="N142">
        <v>54803</v>
      </c>
      <c r="O142">
        <v>0</v>
      </c>
      <c r="P142">
        <v>0</v>
      </c>
    </row>
    <row r="143" spans="1:20">
      <c r="B143" s="24" t="s">
        <v>679</v>
      </c>
      <c r="C143" s="24">
        <v>0</v>
      </c>
      <c r="D143" s="24">
        <v>0</v>
      </c>
      <c r="E143" s="29">
        <v>57</v>
      </c>
      <c r="F143">
        <v>363</v>
      </c>
      <c r="G143">
        <v>438</v>
      </c>
      <c r="K143" s="43" t="s">
        <v>4</v>
      </c>
      <c r="L143" s="43">
        <v>6</v>
      </c>
      <c r="M143" s="43" t="s">
        <v>4</v>
      </c>
      <c r="N143" s="43" t="s">
        <v>4</v>
      </c>
      <c r="O143" s="43" t="s">
        <v>4</v>
      </c>
      <c r="P143" s="43" t="s">
        <v>4</v>
      </c>
    </row>
    <row r="144" spans="1:20">
      <c r="E144" s="29"/>
      <c r="N144" s="43"/>
      <c r="O144" s="43"/>
      <c r="P144" s="43"/>
    </row>
    <row r="145" spans="5:16">
      <c r="E145" s="29"/>
      <c r="N145" s="43"/>
      <c r="O145" s="43"/>
      <c r="P145" s="43"/>
    </row>
  </sheetData>
  <hyperlinks>
    <hyperlink ref="B2"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sheetPr codeName="Sheet15">
    <outlinePr summaryBelow="0" summaryRight="0"/>
    <pageSetUpPr fitToPage="1"/>
  </sheetPr>
  <dimension ref="A1:V243"/>
  <sheetViews>
    <sheetView workbookViewId="0"/>
  </sheetViews>
  <sheetFormatPr defaultRowHeight="12.75"/>
  <cols>
    <col min="1" max="1" width="9.140625" style="5"/>
    <col min="2" max="2" width="39.5703125" style="5" customWidth="1"/>
    <col min="3" max="6" width="8" style="5" customWidth="1"/>
    <col min="7" max="11" width="8" style="5" bestFit="1" customWidth="1"/>
    <col min="12" max="12" width="8.140625" style="5" bestFit="1" customWidth="1"/>
    <col min="13" max="21" width="8" style="5" customWidth="1"/>
    <col min="22" max="22" width="9.140625" style="5"/>
    <col min="23" max="23" width="24.5703125" style="5" customWidth="1"/>
    <col min="24" max="25" width="9.140625" style="5"/>
    <col min="26" max="26" width="11.5703125" style="5" bestFit="1" customWidth="1"/>
    <col min="27" max="27" width="10.5703125" style="5" bestFit="1" customWidth="1"/>
    <col min="28" max="16384" width="9.140625" style="5"/>
  </cols>
  <sheetData>
    <row r="1" spans="1:22">
      <c r="A1" s="50" t="s">
        <v>1114</v>
      </c>
      <c r="P1" s="21" t="s">
        <v>798</v>
      </c>
    </row>
    <row r="2" spans="1:22" s="1" customFormat="1">
      <c r="B2" s="1" t="s">
        <v>13</v>
      </c>
      <c r="F2" s="1" t="s">
        <v>799</v>
      </c>
      <c r="M2" s="20" t="s">
        <v>174</v>
      </c>
      <c r="P2" s="1" t="s">
        <v>173</v>
      </c>
    </row>
    <row r="3" spans="1:22" s="1" customFormat="1">
      <c r="V3"/>
    </row>
    <row r="4" spans="1:22" s="1" customFormat="1">
      <c r="B4" s="49" t="s">
        <v>175</v>
      </c>
      <c r="C4" s="49">
        <v>2017</v>
      </c>
      <c r="D4" s="49">
        <v>2016</v>
      </c>
      <c r="E4" s="20">
        <v>2015</v>
      </c>
      <c r="F4" s="20">
        <v>2014</v>
      </c>
      <c r="G4" s="20">
        <v>2013</v>
      </c>
      <c r="H4" s="20">
        <v>2012</v>
      </c>
      <c r="I4" s="20">
        <v>2011</v>
      </c>
      <c r="J4" s="20">
        <v>2010</v>
      </c>
      <c r="K4" s="20">
        <f>'Budget summary'!J6</f>
        <v>2009</v>
      </c>
      <c r="L4" s="20">
        <f>'Budget summary'!K6</f>
        <v>2008</v>
      </c>
      <c r="M4" s="20">
        <f>'Budget summary'!L6</f>
        <v>2007</v>
      </c>
      <c r="N4" s="20">
        <f>'Budget summary'!M6</f>
        <v>2006</v>
      </c>
      <c r="O4" s="20">
        <f>'Budget summary'!N6</f>
        <v>2005</v>
      </c>
      <c r="P4" s="20">
        <f>'Budget summary'!O6</f>
        <v>2004</v>
      </c>
      <c r="Q4" s="20">
        <f>'Budget summary'!P6</f>
        <v>2003</v>
      </c>
      <c r="R4" s="20">
        <f>'Budget summary'!Q6</f>
        <v>2002</v>
      </c>
      <c r="S4" s="20">
        <f>'Budget summary'!R6</f>
        <v>2001</v>
      </c>
      <c r="T4" s="20">
        <v>2000</v>
      </c>
      <c r="V4"/>
    </row>
    <row r="5" spans="1:22" s="3" customFormat="1">
      <c r="B5" s="1" t="s">
        <v>14</v>
      </c>
      <c r="C5" s="50" t="s">
        <v>980</v>
      </c>
      <c r="D5" s="50" t="s">
        <v>117</v>
      </c>
      <c r="E5" s="20" t="s">
        <v>117</v>
      </c>
      <c r="F5" s="20" t="s">
        <v>638</v>
      </c>
      <c r="G5" s="20" t="s">
        <v>115</v>
      </c>
      <c r="H5" s="20" t="s">
        <v>115</v>
      </c>
      <c r="I5" s="20" t="s">
        <v>115</v>
      </c>
      <c r="J5" s="20" t="s">
        <v>115</v>
      </c>
      <c r="K5" s="20" t="str">
        <f>'Budget summary'!J5</f>
        <v>Actual</v>
      </c>
      <c r="L5" s="20" t="str">
        <f>'Budget summary'!K5</f>
        <v>Actual</v>
      </c>
      <c r="M5" s="20" t="str">
        <f>'Budget summary'!L5</f>
        <v>Actual</v>
      </c>
      <c r="N5" s="20" t="str">
        <f>'Budget summary'!M5</f>
        <v>Actual</v>
      </c>
      <c r="O5" s="20" t="str">
        <f>'Budget summary'!N5</f>
        <v>Actual</v>
      </c>
      <c r="P5" s="20" t="str">
        <f>'Budget summary'!O5</f>
        <v>Actual</v>
      </c>
      <c r="Q5" s="20" t="str">
        <f>'Budget summary'!P5</f>
        <v>Actual</v>
      </c>
      <c r="R5" s="20" t="str">
        <f>'Budget summary'!Q5</f>
        <v>Actual</v>
      </c>
      <c r="S5" s="20" t="str">
        <f>'Budget summary'!R5</f>
        <v>Actual</v>
      </c>
      <c r="T5" s="20" t="str">
        <f>'Budget summary'!R5</f>
        <v>Actual</v>
      </c>
    </row>
    <row r="6" spans="1:22" s="3" customFormat="1" ht="25.5">
      <c r="A6" s="22" t="s">
        <v>695</v>
      </c>
      <c r="B6" s="27" t="s">
        <v>97</v>
      </c>
      <c r="C6" s="64">
        <f t="shared" ref="C6:D6" si="0">SUBTOTAL(9,C7:C109)</f>
        <v>23995.899999999998</v>
      </c>
      <c r="D6" s="64">
        <f t="shared" si="0"/>
        <v>23868.999999999996</v>
      </c>
      <c r="E6" s="64">
        <f t="shared" ref="E6:J6" si="1">SUBTOTAL(9,E7:E109)</f>
        <v>23447.399999999998</v>
      </c>
      <c r="F6" s="64">
        <f t="shared" si="1"/>
        <v>23843.399999999998</v>
      </c>
      <c r="G6" s="64">
        <f t="shared" si="1"/>
        <v>23470.699999999997</v>
      </c>
      <c r="H6" s="64">
        <f t="shared" si="1"/>
        <v>22780.100000000002</v>
      </c>
      <c r="I6" s="64">
        <f t="shared" si="1"/>
        <v>22149.599999999999</v>
      </c>
      <c r="J6" s="64">
        <f t="shared" si="1"/>
        <v>22074.5</v>
      </c>
      <c r="K6" s="64">
        <v>22311.3</v>
      </c>
      <c r="L6" s="64">
        <v>22260.6</v>
      </c>
      <c r="M6" s="64">
        <v>22003.9</v>
      </c>
      <c r="N6" s="64">
        <v>22003.9</v>
      </c>
      <c r="O6" s="64">
        <v>22003.9</v>
      </c>
      <c r="P6" s="64">
        <v>22003.9</v>
      </c>
      <c r="Q6" s="64">
        <v>22003.9</v>
      </c>
      <c r="R6" s="64">
        <v>22003.9</v>
      </c>
      <c r="S6" s="64">
        <v>22003.9</v>
      </c>
      <c r="T6" s="27"/>
      <c r="V6" s="43"/>
    </row>
    <row r="7" spans="1:22" s="3" customFormat="1">
      <c r="A7" s="3" t="s">
        <v>696</v>
      </c>
      <c r="B7" s="27" t="s">
        <v>16</v>
      </c>
      <c r="C7" s="23">
        <f t="shared" ref="C7:D7" si="2">SUBTOTAL(9,C8:C16)</f>
        <v>17</v>
      </c>
      <c r="D7" s="23">
        <f t="shared" si="2"/>
        <v>17</v>
      </c>
      <c r="E7" s="23">
        <f t="shared" ref="E7:L7" si="3">SUBTOTAL(9,E8:E16)</f>
        <v>18</v>
      </c>
      <c r="F7" s="23">
        <f t="shared" si="3"/>
        <v>19</v>
      </c>
      <c r="G7" s="23">
        <f t="shared" si="3"/>
        <v>19</v>
      </c>
      <c r="H7" s="23">
        <f t="shared" si="3"/>
        <v>19</v>
      </c>
      <c r="I7" s="23">
        <f t="shared" si="3"/>
        <v>19</v>
      </c>
      <c r="J7" s="23">
        <f t="shared" si="3"/>
        <v>19</v>
      </c>
      <c r="K7" s="23">
        <f t="shared" si="3"/>
        <v>20</v>
      </c>
      <c r="L7" s="23">
        <f t="shared" si="3"/>
        <v>20</v>
      </c>
      <c r="M7" s="23">
        <f t="shared" ref="M7" si="4">SUBTOTAL(9,M8:M16)</f>
        <v>19</v>
      </c>
      <c r="N7" s="23">
        <f t="shared" ref="N7:S7" si="5">SUBTOTAL(9,N8:N16)</f>
        <v>19</v>
      </c>
      <c r="O7" s="23">
        <f t="shared" si="5"/>
        <v>19</v>
      </c>
      <c r="P7" s="23">
        <f t="shared" si="5"/>
        <v>19</v>
      </c>
      <c r="Q7" s="23">
        <f t="shared" si="5"/>
        <v>19</v>
      </c>
      <c r="R7" s="23">
        <f t="shared" si="5"/>
        <v>20</v>
      </c>
      <c r="S7" s="23">
        <f t="shared" si="5"/>
        <v>19</v>
      </c>
      <c r="V7"/>
    </row>
    <row r="8" spans="1:22" s="3" customFormat="1">
      <c r="A8" s="3" t="s">
        <v>697</v>
      </c>
      <c r="B8" s="3" t="s">
        <v>3</v>
      </c>
      <c r="C8" s="156">
        <v>1</v>
      </c>
      <c r="D8" s="156">
        <v>1</v>
      </c>
      <c r="E8" s="128">
        <v>1</v>
      </c>
      <c r="F8" s="128">
        <v>1</v>
      </c>
      <c r="G8" s="128">
        <v>1</v>
      </c>
      <c r="H8">
        <v>1</v>
      </c>
      <c r="I8">
        <v>1</v>
      </c>
      <c r="J8">
        <v>1</v>
      </c>
      <c r="K8" s="7">
        <v>1</v>
      </c>
      <c r="L8" s="7">
        <v>1</v>
      </c>
      <c r="M8" s="7">
        <v>1</v>
      </c>
      <c r="N8" s="22">
        <v>1</v>
      </c>
      <c r="O8" s="22">
        <v>1</v>
      </c>
      <c r="P8" s="22">
        <v>1</v>
      </c>
      <c r="Q8" s="22">
        <v>1</v>
      </c>
      <c r="R8" s="22">
        <v>1</v>
      </c>
      <c r="S8" s="22">
        <v>1</v>
      </c>
      <c r="T8" s="50"/>
      <c r="V8"/>
    </row>
    <row r="9" spans="1:22" s="3" customFormat="1">
      <c r="A9" s="3" t="s">
        <v>698</v>
      </c>
      <c r="B9" s="3" t="s">
        <v>5</v>
      </c>
      <c r="C9" s="156">
        <v>1</v>
      </c>
      <c r="D9" s="156">
        <v>1</v>
      </c>
      <c r="E9" s="128">
        <v>1</v>
      </c>
      <c r="F9" s="128">
        <v>1</v>
      </c>
      <c r="G9" s="128">
        <v>1</v>
      </c>
      <c r="H9">
        <v>1</v>
      </c>
      <c r="I9">
        <v>1</v>
      </c>
      <c r="J9">
        <v>1</v>
      </c>
      <c r="K9" s="7">
        <v>1</v>
      </c>
      <c r="L9" s="7">
        <v>1</v>
      </c>
      <c r="M9" s="7">
        <v>1</v>
      </c>
      <c r="N9" s="22">
        <v>1</v>
      </c>
      <c r="O9" s="22">
        <v>0</v>
      </c>
      <c r="P9" s="22">
        <v>0</v>
      </c>
      <c r="Q9" s="22">
        <v>0</v>
      </c>
      <c r="R9" s="22">
        <v>1</v>
      </c>
      <c r="S9" s="22">
        <v>1</v>
      </c>
      <c r="T9" s="50"/>
      <c r="V9"/>
    </row>
    <row r="10" spans="1:22" s="3" customFormat="1">
      <c r="B10" s="22" t="s">
        <v>965</v>
      </c>
      <c r="C10" s="156">
        <v>3</v>
      </c>
      <c r="D10" s="156">
        <v>3</v>
      </c>
      <c r="E10" s="128">
        <v>3</v>
      </c>
      <c r="F10" s="128">
        <v>0</v>
      </c>
      <c r="G10" s="128">
        <v>0</v>
      </c>
      <c r="H10"/>
      <c r="I10"/>
      <c r="J10"/>
      <c r="K10" s="7"/>
      <c r="L10" s="7"/>
      <c r="M10" s="7"/>
      <c r="N10" s="22"/>
      <c r="O10" s="22"/>
      <c r="P10" s="22"/>
      <c r="Q10" s="22"/>
      <c r="R10" s="22"/>
      <c r="S10" s="22"/>
      <c r="T10" s="50"/>
      <c r="V10"/>
    </row>
    <row r="11" spans="1:22" s="3" customFormat="1">
      <c r="B11" s="3" t="s">
        <v>646</v>
      </c>
      <c r="C11" s="22"/>
      <c r="D11" s="22"/>
      <c r="E11" s="21"/>
      <c r="F11"/>
      <c r="G11"/>
      <c r="H11"/>
      <c r="I11"/>
      <c r="J11"/>
      <c r="K11" s="7"/>
      <c r="L11" s="7"/>
      <c r="M11" s="7"/>
      <c r="N11" s="22">
        <v>0</v>
      </c>
      <c r="O11" s="22">
        <v>1</v>
      </c>
      <c r="P11" s="22">
        <v>1</v>
      </c>
      <c r="Q11" s="22">
        <v>1</v>
      </c>
      <c r="R11" s="22">
        <v>0</v>
      </c>
      <c r="S11" s="22">
        <v>0</v>
      </c>
      <c r="T11" s="50"/>
      <c r="V11"/>
    </row>
    <row r="12" spans="1:22" s="3" customFormat="1">
      <c r="B12" s="3" t="s">
        <v>647</v>
      </c>
      <c r="C12" s="22"/>
      <c r="D12" s="22"/>
      <c r="E12" s="21"/>
      <c r="F12"/>
      <c r="G12"/>
      <c r="H12"/>
      <c r="I12"/>
      <c r="J12"/>
      <c r="K12" s="7"/>
      <c r="L12" s="7"/>
      <c r="M12" s="7"/>
      <c r="N12" s="22">
        <v>0</v>
      </c>
      <c r="O12" s="22">
        <v>1</v>
      </c>
      <c r="P12" s="22">
        <v>1</v>
      </c>
      <c r="Q12" s="22">
        <v>1</v>
      </c>
      <c r="R12" s="22">
        <v>0</v>
      </c>
      <c r="S12" s="22">
        <v>0</v>
      </c>
      <c r="T12" s="50"/>
      <c r="V12"/>
    </row>
    <row r="13" spans="1:22" s="3" customFormat="1">
      <c r="B13" s="3" t="s">
        <v>648</v>
      </c>
      <c r="C13" s="22"/>
      <c r="D13" s="22"/>
      <c r="E13" s="21"/>
      <c r="F13"/>
      <c r="G13"/>
      <c r="H13"/>
      <c r="I13"/>
      <c r="J13"/>
      <c r="K13" s="7"/>
      <c r="L13" s="7"/>
      <c r="M13" s="7"/>
      <c r="N13" s="22">
        <v>0</v>
      </c>
      <c r="O13" s="22">
        <v>0</v>
      </c>
      <c r="P13" s="22">
        <v>0</v>
      </c>
      <c r="Q13" s="22">
        <v>0</v>
      </c>
      <c r="R13" s="22">
        <v>0</v>
      </c>
      <c r="S13" s="22">
        <v>2</v>
      </c>
      <c r="T13" s="50"/>
      <c r="V13"/>
    </row>
    <row r="14" spans="1:22" s="3" customFormat="1">
      <c r="A14" s="3" t="s">
        <v>699</v>
      </c>
      <c r="B14" s="3" t="s">
        <v>10</v>
      </c>
      <c r="C14" s="157">
        <v>11</v>
      </c>
      <c r="D14" s="157">
        <v>11</v>
      </c>
      <c r="E14" s="21">
        <v>12</v>
      </c>
      <c r="F14">
        <v>16</v>
      </c>
      <c r="G14">
        <v>16</v>
      </c>
      <c r="H14">
        <v>16</v>
      </c>
      <c r="I14">
        <v>16</v>
      </c>
      <c r="J14">
        <v>16</v>
      </c>
      <c r="K14" s="8">
        <v>17</v>
      </c>
      <c r="L14" s="8">
        <v>17</v>
      </c>
      <c r="M14" s="8">
        <v>16</v>
      </c>
      <c r="N14" s="22">
        <v>16</v>
      </c>
      <c r="O14" s="22">
        <v>15</v>
      </c>
      <c r="P14" s="22">
        <v>7</v>
      </c>
      <c r="Q14" s="22">
        <v>7</v>
      </c>
      <c r="R14" s="22">
        <v>9</v>
      </c>
      <c r="S14" s="22">
        <v>7</v>
      </c>
      <c r="T14" s="50"/>
      <c r="V14"/>
    </row>
    <row r="15" spans="1:22" s="3" customFormat="1">
      <c r="B15" s="3" t="s">
        <v>649</v>
      </c>
      <c r="C15" s="22"/>
      <c r="D15" s="22"/>
      <c r="E15" s="21"/>
      <c r="F15"/>
      <c r="G15"/>
      <c r="H15"/>
      <c r="I15"/>
      <c r="J15"/>
      <c r="K15" s="8"/>
      <c r="L15" s="8"/>
      <c r="M15" s="8"/>
      <c r="N15" s="22">
        <v>0</v>
      </c>
      <c r="O15" s="22">
        <v>0</v>
      </c>
      <c r="P15" s="22">
        <v>8</v>
      </c>
      <c r="Q15" s="22">
        <v>8</v>
      </c>
      <c r="R15" s="22">
        <v>8</v>
      </c>
      <c r="S15" s="22">
        <v>8</v>
      </c>
      <c r="T15" s="50"/>
      <c r="V15"/>
    </row>
    <row r="16" spans="1:22" s="3" customFormat="1">
      <c r="A16" s="3" t="s">
        <v>700</v>
      </c>
      <c r="B16" s="3" t="s">
        <v>15</v>
      </c>
      <c r="C16" s="156">
        <v>1</v>
      </c>
      <c r="D16" s="156">
        <v>1</v>
      </c>
      <c r="E16" s="21">
        <v>1</v>
      </c>
      <c r="F16">
        <v>1</v>
      </c>
      <c r="G16">
        <v>1</v>
      </c>
      <c r="H16">
        <v>1</v>
      </c>
      <c r="I16">
        <v>1</v>
      </c>
      <c r="J16">
        <v>1</v>
      </c>
      <c r="K16" s="9">
        <v>1</v>
      </c>
      <c r="L16" s="9">
        <v>1</v>
      </c>
      <c r="M16" s="9">
        <v>1</v>
      </c>
      <c r="N16" s="22">
        <v>1</v>
      </c>
      <c r="O16" s="22">
        <v>1</v>
      </c>
      <c r="P16" s="22">
        <v>1</v>
      </c>
      <c r="Q16" s="22">
        <v>1</v>
      </c>
      <c r="R16" s="22">
        <v>1</v>
      </c>
      <c r="S16" s="22">
        <v>0</v>
      </c>
      <c r="T16" s="50"/>
      <c r="V16"/>
    </row>
    <row r="17" spans="1:22" s="3" customFormat="1">
      <c r="A17" s="3" t="s">
        <v>701</v>
      </c>
      <c r="B17" s="27" t="s">
        <v>22</v>
      </c>
      <c r="C17" s="63">
        <f t="shared" ref="C17:D17" si="6">SUBTOTAL(9,C18:C22)</f>
        <v>198</v>
      </c>
      <c r="D17" s="63">
        <f t="shared" si="6"/>
        <v>198</v>
      </c>
      <c r="E17" s="63">
        <f t="shared" ref="E17:L17" si="7">SUBTOTAL(9,E18:E22)</f>
        <v>196</v>
      </c>
      <c r="F17" s="63">
        <f t="shared" si="7"/>
        <v>196</v>
      </c>
      <c r="G17" s="63">
        <f t="shared" si="7"/>
        <v>196</v>
      </c>
      <c r="H17" s="63">
        <f t="shared" si="7"/>
        <v>195</v>
      </c>
      <c r="I17" s="63">
        <f t="shared" si="7"/>
        <v>194</v>
      </c>
      <c r="J17" s="63">
        <f t="shared" si="7"/>
        <v>195</v>
      </c>
      <c r="K17" s="63">
        <f t="shared" si="7"/>
        <v>196</v>
      </c>
      <c r="L17" s="63">
        <f t="shared" si="7"/>
        <v>195</v>
      </c>
      <c r="M17" s="63">
        <f t="shared" ref="M17" si="8">SUBTOTAL(9,M18:M22)</f>
        <v>196</v>
      </c>
      <c r="N17" s="23">
        <f t="shared" ref="N17:S17" si="9">SUBTOTAL(9,N18:N22)</f>
        <v>197</v>
      </c>
      <c r="O17" s="23">
        <f t="shared" si="9"/>
        <v>198</v>
      </c>
      <c r="P17" s="23">
        <f t="shared" si="9"/>
        <v>201</v>
      </c>
      <c r="Q17" s="23">
        <f t="shared" si="9"/>
        <v>204</v>
      </c>
      <c r="R17" s="23">
        <f t="shared" si="9"/>
        <v>201</v>
      </c>
      <c r="S17" s="23">
        <f t="shared" si="9"/>
        <v>201</v>
      </c>
      <c r="T17" s="50"/>
      <c r="V17"/>
    </row>
    <row r="18" spans="1:22" s="3" customFormat="1">
      <c r="A18" s="3" t="s">
        <v>702</v>
      </c>
      <c r="B18" s="3" t="s">
        <v>17</v>
      </c>
      <c r="C18" s="158">
        <v>140</v>
      </c>
      <c r="D18" s="158">
        <v>140</v>
      </c>
      <c r="E18" s="129">
        <v>139</v>
      </c>
      <c r="F18" s="129">
        <v>139</v>
      </c>
      <c r="G18" s="129">
        <v>139</v>
      </c>
      <c r="H18">
        <v>139</v>
      </c>
      <c r="I18">
        <v>139</v>
      </c>
      <c r="J18">
        <v>139</v>
      </c>
      <c r="K18" s="10">
        <v>139</v>
      </c>
      <c r="L18" s="10">
        <v>137</v>
      </c>
      <c r="M18" s="10">
        <v>137</v>
      </c>
      <c r="N18" s="22">
        <v>137</v>
      </c>
      <c r="O18" s="22">
        <v>136</v>
      </c>
      <c r="P18" s="22">
        <v>136</v>
      </c>
      <c r="Q18" s="22">
        <v>136</v>
      </c>
      <c r="R18" s="22">
        <v>133</v>
      </c>
      <c r="S18" s="22">
        <v>132</v>
      </c>
      <c r="T18" s="50"/>
      <c r="V18"/>
    </row>
    <row r="19" spans="1:22" s="3" customFormat="1">
      <c r="A19" s="3" t="s">
        <v>703</v>
      </c>
      <c r="B19" s="3" t="s">
        <v>18</v>
      </c>
      <c r="C19" s="157">
        <v>23</v>
      </c>
      <c r="D19" s="157">
        <v>23</v>
      </c>
      <c r="E19" s="130">
        <v>23</v>
      </c>
      <c r="F19" s="130">
        <v>23</v>
      </c>
      <c r="G19" s="130">
        <v>23</v>
      </c>
      <c r="H19">
        <v>22</v>
      </c>
      <c r="I19">
        <v>22</v>
      </c>
      <c r="J19">
        <v>22</v>
      </c>
      <c r="K19" s="8">
        <v>22</v>
      </c>
      <c r="L19" s="8">
        <v>22</v>
      </c>
      <c r="M19" s="8">
        <v>22</v>
      </c>
      <c r="N19" s="22">
        <v>22</v>
      </c>
      <c r="O19" s="22">
        <v>22</v>
      </c>
      <c r="P19" s="22">
        <v>22</v>
      </c>
      <c r="Q19" s="22">
        <v>22</v>
      </c>
      <c r="R19" s="22">
        <v>22</v>
      </c>
      <c r="S19" s="22">
        <v>21</v>
      </c>
      <c r="T19" s="50"/>
      <c r="V19"/>
    </row>
    <row r="20" spans="1:22" s="3" customFormat="1">
      <c r="A20" s="3" t="s">
        <v>704</v>
      </c>
      <c r="B20" s="3" t="s">
        <v>19</v>
      </c>
      <c r="C20" s="157">
        <v>25</v>
      </c>
      <c r="D20" s="157">
        <v>25</v>
      </c>
      <c r="E20" s="130">
        <v>25</v>
      </c>
      <c r="F20" s="130">
        <v>25</v>
      </c>
      <c r="G20" s="130">
        <v>25</v>
      </c>
      <c r="H20">
        <v>25</v>
      </c>
      <c r="I20">
        <v>25</v>
      </c>
      <c r="J20">
        <v>25</v>
      </c>
      <c r="K20" s="8">
        <v>25</v>
      </c>
      <c r="L20" s="8">
        <v>25</v>
      </c>
      <c r="M20" s="8">
        <v>25</v>
      </c>
      <c r="N20" s="22">
        <v>25</v>
      </c>
      <c r="O20" s="22">
        <v>25</v>
      </c>
      <c r="P20" s="22">
        <v>24</v>
      </c>
      <c r="Q20" s="22">
        <v>24</v>
      </c>
      <c r="R20" s="22">
        <v>24</v>
      </c>
      <c r="S20" s="22">
        <v>24</v>
      </c>
      <c r="T20" s="50"/>
      <c r="V20"/>
    </row>
    <row r="21" spans="1:22" s="3" customFormat="1">
      <c r="A21" s="3" t="s">
        <v>705</v>
      </c>
      <c r="B21" s="3" t="s">
        <v>20</v>
      </c>
      <c r="C21" s="156">
        <v>7</v>
      </c>
      <c r="D21" s="156">
        <v>7</v>
      </c>
      <c r="E21" s="131">
        <v>7</v>
      </c>
      <c r="F21" s="131">
        <v>7</v>
      </c>
      <c r="G21" s="131">
        <v>7</v>
      </c>
      <c r="H21">
        <v>7</v>
      </c>
      <c r="I21">
        <v>6</v>
      </c>
      <c r="J21">
        <v>6</v>
      </c>
      <c r="K21" s="7">
        <v>7</v>
      </c>
      <c r="L21" s="7">
        <v>8</v>
      </c>
      <c r="M21" s="7">
        <v>9</v>
      </c>
      <c r="N21" s="22">
        <v>10</v>
      </c>
      <c r="O21" s="22">
        <v>12</v>
      </c>
      <c r="P21" s="22">
        <v>16</v>
      </c>
      <c r="Q21" s="22">
        <v>19</v>
      </c>
      <c r="R21" s="22">
        <v>19</v>
      </c>
      <c r="S21" s="22">
        <v>21</v>
      </c>
      <c r="T21" s="50"/>
      <c r="V21"/>
    </row>
    <row r="22" spans="1:22" s="3" customFormat="1">
      <c r="A22" s="3" t="s">
        <v>706</v>
      </c>
      <c r="B22" s="3" t="s">
        <v>21</v>
      </c>
      <c r="C22" s="156">
        <v>3</v>
      </c>
      <c r="D22" s="156">
        <v>3</v>
      </c>
      <c r="E22" s="131">
        <v>2</v>
      </c>
      <c r="F22" s="131">
        <v>2</v>
      </c>
      <c r="G22" s="131">
        <v>2</v>
      </c>
      <c r="H22">
        <v>2</v>
      </c>
      <c r="I22">
        <v>2</v>
      </c>
      <c r="J22">
        <v>3</v>
      </c>
      <c r="K22" s="9">
        <v>3</v>
      </c>
      <c r="L22" s="9">
        <v>3</v>
      </c>
      <c r="M22" s="9">
        <v>3</v>
      </c>
      <c r="N22" s="22">
        <v>3</v>
      </c>
      <c r="O22" s="22">
        <v>3</v>
      </c>
      <c r="P22" s="22">
        <v>3</v>
      </c>
      <c r="Q22" s="22">
        <v>3</v>
      </c>
      <c r="R22" s="22">
        <v>3</v>
      </c>
      <c r="S22" s="22">
        <v>3</v>
      </c>
      <c r="T22" s="50"/>
      <c r="V22"/>
    </row>
    <row r="23" spans="1:22" s="3" customFormat="1">
      <c r="A23" s="3" t="s">
        <v>707</v>
      </c>
      <c r="B23" s="27" t="s">
        <v>30</v>
      </c>
      <c r="C23" s="63">
        <f t="shared" ref="C23:D23" si="10">SUBTOTAL(9,C24:C30)</f>
        <v>452</v>
      </c>
      <c r="D23" s="63">
        <f t="shared" si="10"/>
        <v>460</v>
      </c>
      <c r="E23" s="63">
        <f t="shared" ref="E23:L23" si="11">SUBTOTAL(9,E24:E30)</f>
        <v>456</v>
      </c>
      <c r="F23" s="63">
        <f t="shared" si="11"/>
        <v>455</v>
      </c>
      <c r="G23" s="63">
        <f t="shared" si="11"/>
        <v>451</v>
      </c>
      <c r="H23" s="63">
        <f t="shared" si="11"/>
        <v>440</v>
      </c>
      <c r="I23" s="63">
        <f t="shared" si="11"/>
        <v>438</v>
      </c>
      <c r="J23" s="63">
        <f t="shared" si="11"/>
        <v>439</v>
      </c>
      <c r="K23" s="63">
        <f t="shared" si="11"/>
        <v>444</v>
      </c>
      <c r="L23" s="23">
        <f t="shared" si="11"/>
        <v>438</v>
      </c>
      <c r="M23" s="23">
        <f t="shared" ref="M23" si="12">SUBTOTAL(9,M24:M30)</f>
        <v>436</v>
      </c>
      <c r="N23" s="23">
        <f t="shared" ref="N23:S23" si="13">SUBTOTAL(9,N24:N30)</f>
        <v>427</v>
      </c>
      <c r="O23" s="23">
        <f t="shared" si="13"/>
        <v>412</v>
      </c>
      <c r="P23" s="23">
        <f t="shared" si="13"/>
        <v>388</v>
      </c>
      <c r="Q23" s="23">
        <f t="shared" si="13"/>
        <v>387</v>
      </c>
      <c r="R23" s="23">
        <f t="shared" si="13"/>
        <v>377</v>
      </c>
      <c r="S23" s="23">
        <f t="shared" si="13"/>
        <v>365</v>
      </c>
      <c r="T23" s="50"/>
      <c r="V23"/>
    </row>
    <row r="24" spans="1:22" s="3" customFormat="1">
      <c r="A24" s="3" t="s">
        <v>708</v>
      </c>
      <c r="B24" s="3" t="s">
        <v>23</v>
      </c>
      <c r="C24" s="158">
        <v>179</v>
      </c>
      <c r="D24" s="158">
        <v>188</v>
      </c>
      <c r="E24" s="129">
        <v>185</v>
      </c>
      <c r="F24" s="129">
        <v>184</v>
      </c>
      <c r="G24" s="129">
        <v>182</v>
      </c>
      <c r="H24">
        <v>171</v>
      </c>
      <c r="I24">
        <v>167</v>
      </c>
      <c r="J24">
        <v>159</v>
      </c>
      <c r="K24" s="10">
        <v>160</v>
      </c>
      <c r="L24" s="10">
        <v>156</v>
      </c>
      <c r="M24" s="10">
        <v>159</v>
      </c>
      <c r="N24" s="21">
        <v>152</v>
      </c>
      <c r="O24" s="21">
        <v>145</v>
      </c>
      <c r="P24" s="21">
        <v>136</v>
      </c>
      <c r="Q24" s="22">
        <v>138</v>
      </c>
      <c r="R24" s="22">
        <v>134</v>
      </c>
      <c r="S24" s="22">
        <v>132</v>
      </c>
      <c r="T24" s="50"/>
      <c r="V24"/>
    </row>
    <row r="25" spans="1:22" s="3" customFormat="1">
      <c r="A25" s="3" t="s">
        <v>709</v>
      </c>
      <c r="B25" s="3" t="s">
        <v>24</v>
      </c>
      <c r="C25" s="157">
        <v>52</v>
      </c>
      <c r="D25" s="157">
        <v>52</v>
      </c>
      <c r="E25" s="130">
        <v>52</v>
      </c>
      <c r="F25" s="130">
        <v>52</v>
      </c>
      <c r="G25" s="130">
        <v>52</v>
      </c>
      <c r="H25">
        <v>52</v>
      </c>
      <c r="I25">
        <v>52</v>
      </c>
      <c r="J25">
        <v>52</v>
      </c>
      <c r="K25" s="8">
        <v>52</v>
      </c>
      <c r="L25" s="8">
        <v>52</v>
      </c>
      <c r="M25" s="8">
        <v>52</v>
      </c>
      <c r="N25" s="21">
        <v>52</v>
      </c>
      <c r="O25" s="21">
        <v>50</v>
      </c>
      <c r="P25" s="21">
        <v>50</v>
      </c>
      <c r="Q25" s="22">
        <v>50</v>
      </c>
      <c r="R25" s="22">
        <v>51</v>
      </c>
      <c r="S25" s="22">
        <v>48</v>
      </c>
      <c r="T25" s="50"/>
      <c r="V25"/>
    </row>
    <row r="26" spans="1:22" s="3" customFormat="1">
      <c r="A26" s="3" t="s">
        <v>710</v>
      </c>
      <c r="B26" s="3" t="s">
        <v>25</v>
      </c>
      <c r="C26" s="158">
        <v>112</v>
      </c>
      <c r="D26" s="158">
        <v>111</v>
      </c>
      <c r="E26" s="129">
        <v>109</v>
      </c>
      <c r="F26" s="129">
        <v>108</v>
      </c>
      <c r="G26" s="129">
        <v>106</v>
      </c>
      <c r="H26">
        <v>106</v>
      </c>
      <c r="I26">
        <v>107</v>
      </c>
      <c r="J26">
        <v>115</v>
      </c>
      <c r="K26" s="10">
        <v>121</v>
      </c>
      <c r="L26" s="10">
        <v>121</v>
      </c>
      <c r="M26" s="10">
        <v>118</v>
      </c>
      <c r="N26" s="21">
        <v>117</v>
      </c>
      <c r="O26" s="21">
        <v>117</v>
      </c>
      <c r="P26" s="21">
        <v>109</v>
      </c>
      <c r="Q26" s="22">
        <v>108</v>
      </c>
      <c r="R26" s="22">
        <v>102</v>
      </c>
      <c r="S26" s="22">
        <v>101</v>
      </c>
      <c r="T26" s="50"/>
      <c r="V26"/>
    </row>
    <row r="27" spans="1:22" s="3" customFormat="1">
      <c r="A27" s="3" t="s">
        <v>711</v>
      </c>
      <c r="B27" s="3" t="s">
        <v>26</v>
      </c>
      <c r="C27" s="157">
        <v>26</v>
      </c>
      <c r="D27" s="157">
        <v>26</v>
      </c>
      <c r="E27" s="130">
        <v>26</v>
      </c>
      <c r="F27" s="130">
        <v>27</v>
      </c>
      <c r="G27" s="130">
        <v>27</v>
      </c>
      <c r="H27">
        <v>27</v>
      </c>
      <c r="I27">
        <v>28</v>
      </c>
      <c r="J27">
        <v>28</v>
      </c>
      <c r="K27" s="8">
        <v>27</v>
      </c>
      <c r="L27" s="8">
        <v>26</v>
      </c>
      <c r="M27" s="8">
        <v>24</v>
      </c>
      <c r="N27" s="21">
        <v>23</v>
      </c>
      <c r="O27" s="21">
        <v>20</v>
      </c>
      <c r="P27" s="21">
        <v>17</v>
      </c>
      <c r="Q27" s="22">
        <v>15</v>
      </c>
      <c r="R27" s="22">
        <v>14</v>
      </c>
      <c r="S27" s="22">
        <v>9</v>
      </c>
      <c r="T27" s="50"/>
      <c r="V27"/>
    </row>
    <row r="28" spans="1:22" s="3" customFormat="1">
      <c r="A28" s="3" t="s">
        <v>712</v>
      </c>
      <c r="B28" s="3" t="s">
        <v>27</v>
      </c>
      <c r="C28" s="156">
        <v>5</v>
      </c>
      <c r="D28" s="156">
        <v>5</v>
      </c>
      <c r="E28" s="131">
        <v>6</v>
      </c>
      <c r="F28" s="131">
        <v>6</v>
      </c>
      <c r="G28" s="131">
        <v>6</v>
      </c>
      <c r="H28">
        <v>6</v>
      </c>
      <c r="I28">
        <v>6</v>
      </c>
      <c r="J28">
        <v>6</v>
      </c>
      <c r="K28" s="7">
        <v>5</v>
      </c>
      <c r="L28" s="7">
        <v>4</v>
      </c>
      <c r="M28" s="7">
        <v>4</v>
      </c>
      <c r="N28" s="21">
        <v>4</v>
      </c>
      <c r="O28" s="21">
        <v>1</v>
      </c>
      <c r="P28" s="21">
        <v>0</v>
      </c>
      <c r="Q28" s="22">
        <v>0</v>
      </c>
      <c r="R28" s="22">
        <v>0</v>
      </c>
      <c r="S28" s="22">
        <v>0</v>
      </c>
      <c r="T28" s="50"/>
      <c r="V28"/>
    </row>
    <row r="29" spans="1:22" s="3" customFormat="1">
      <c r="A29" s="3" t="s">
        <v>713</v>
      </c>
      <c r="B29" s="3" t="s">
        <v>28</v>
      </c>
      <c r="C29" s="157">
        <v>25</v>
      </c>
      <c r="D29" s="157">
        <v>25</v>
      </c>
      <c r="E29" s="130">
        <v>25</v>
      </c>
      <c r="F29" s="130">
        <v>25</v>
      </c>
      <c r="G29" s="130">
        <v>25</v>
      </c>
      <c r="H29">
        <v>25</v>
      </c>
      <c r="I29">
        <v>25</v>
      </c>
      <c r="J29">
        <v>25</v>
      </c>
      <c r="K29" s="8">
        <v>25</v>
      </c>
      <c r="L29" s="8">
        <v>25</v>
      </c>
      <c r="M29" s="8">
        <v>25</v>
      </c>
      <c r="N29" s="21">
        <v>25</v>
      </c>
      <c r="O29" s="21">
        <v>25</v>
      </c>
      <c r="P29" s="21">
        <v>24</v>
      </c>
      <c r="Q29" s="22">
        <v>24</v>
      </c>
      <c r="R29" s="22">
        <v>24</v>
      </c>
      <c r="S29" s="22">
        <v>24</v>
      </c>
      <c r="T29" s="50"/>
      <c r="V29"/>
    </row>
    <row r="30" spans="1:22" s="3" customFormat="1">
      <c r="A30" s="3" t="s">
        <v>714</v>
      </c>
      <c r="B30" s="3" t="s">
        <v>29</v>
      </c>
      <c r="C30" s="157">
        <v>53</v>
      </c>
      <c r="D30" s="157">
        <v>53</v>
      </c>
      <c r="E30" s="130">
        <v>53</v>
      </c>
      <c r="F30" s="130">
        <v>53</v>
      </c>
      <c r="G30" s="130">
        <v>53</v>
      </c>
      <c r="H30">
        <v>53</v>
      </c>
      <c r="I30">
        <v>53</v>
      </c>
      <c r="J30">
        <v>54</v>
      </c>
      <c r="K30" s="11">
        <v>54</v>
      </c>
      <c r="L30" s="11">
        <v>54</v>
      </c>
      <c r="M30" s="11">
        <v>54</v>
      </c>
      <c r="N30" s="21">
        <v>54</v>
      </c>
      <c r="O30" s="21">
        <v>54</v>
      </c>
      <c r="P30" s="21">
        <v>52</v>
      </c>
      <c r="Q30" s="22">
        <v>52</v>
      </c>
      <c r="R30" s="22">
        <v>52</v>
      </c>
      <c r="S30" s="22">
        <v>51</v>
      </c>
      <c r="T30" s="50"/>
      <c r="V30"/>
    </row>
    <row r="31" spans="1:22" s="3" customFormat="1">
      <c r="A31" s="3" t="s">
        <v>715</v>
      </c>
      <c r="B31" s="27" t="s">
        <v>32</v>
      </c>
      <c r="C31" s="63">
        <f>SUBTOTAL(9,C32:C34)</f>
        <v>147</v>
      </c>
      <c r="D31" s="63">
        <f>SUBTOTAL(9,D32:D34)</f>
        <v>147</v>
      </c>
      <c r="E31" s="63">
        <f>SUBTOTAL(9,E32:E34)</f>
        <v>141.5</v>
      </c>
      <c r="F31" s="63">
        <f t="shared" ref="F31:S31" si="14">SUBTOTAL(9,F32:F34)</f>
        <v>145.5</v>
      </c>
      <c r="G31" s="63">
        <f t="shared" si="14"/>
        <v>144.5</v>
      </c>
      <c r="H31" s="63">
        <f t="shared" si="14"/>
        <v>144.5</v>
      </c>
      <c r="I31" s="63">
        <f t="shared" si="14"/>
        <v>150</v>
      </c>
      <c r="J31" s="63">
        <f t="shared" si="14"/>
        <v>153</v>
      </c>
      <c r="K31" s="63">
        <f t="shared" si="14"/>
        <v>182</v>
      </c>
      <c r="L31" s="63">
        <f t="shared" si="14"/>
        <v>179</v>
      </c>
      <c r="M31" s="63">
        <f t="shared" si="14"/>
        <v>178</v>
      </c>
      <c r="N31" s="63">
        <f t="shared" si="14"/>
        <v>175</v>
      </c>
      <c r="O31" s="63">
        <f t="shared" si="14"/>
        <v>176</v>
      </c>
      <c r="P31" s="63">
        <f t="shared" si="14"/>
        <v>173.5</v>
      </c>
      <c r="Q31" s="63">
        <f t="shared" si="14"/>
        <v>178.5</v>
      </c>
      <c r="R31" s="63">
        <f t="shared" si="14"/>
        <v>185.3</v>
      </c>
      <c r="S31" s="63">
        <f t="shared" si="14"/>
        <v>178.3</v>
      </c>
      <c r="T31" s="50"/>
      <c r="V31"/>
    </row>
    <row r="32" spans="1:22" s="3" customFormat="1">
      <c r="B32" s="22" t="s">
        <v>966</v>
      </c>
      <c r="C32" s="156">
        <v>7</v>
      </c>
      <c r="D32" s="156">
        <v>7</v>
      </c>
      <c r="E32" s="131">
        <v>7</v>
      </c>
      <c r="F32" s="131">
        <v>0</v>
      </c>
      <c r="G32" s="131">
        <v>0</v>
      </c>
      <c r="H32" s="132"/>
      <c r="I32" s="132"/>
      <c r="J32" s="132"/>
      <c r="K32" s="132"/>
      <c r="L32" s="23"/>
      <c r="M32" s="23"/>
      <c r="N32" s="23"/>
      <c r="O32" s="23"/>
      <c r="P32" s="23"/>
      <c r="Q32" s="23"/>
      <c r="R32" s="23"/>
      <c r="S32" s="23"/>
      <c r="T32" s="50"/>
      <c r="V32"/>
    </row>
    <row r="33" spans="1:22" s="3" customFormat="1">
      <c r="A33" s="3" t="s">
        <v>716</v>
      </c>
      <c r="B33" s="3" t="s">
        <v>0</v>
      </c>
      <c r="C33" s="156">
        <v>33.5</v>
      </c>
      <c r="D33" s="156">
        <v>33.5</v>
      </c>
      <c r="E33" s="131">
        <v>32.5</v>
      </c>
      <c r="F33" s="131">
        <v>40.5</v>
      </c>
      <c r="G33" s="131">
        <v>40.5</v>
      </c>
      <c r="H33">
        <v>41.5</v>
      </c>
      <c r="I33">
        <v>41.5</v>
      </c>
      <c r="J33">
        <v>43.5</v>
      </c>
      <c r="K33" s="7">
        <v>54.5</v>
      </c>
      <c r="L33" s="7">
        <v>54.5</v>
      </c>
      <c r="M33" s="7">
        <v>56.5</v>
      </c>
      <c r="N33" s="21">
        <v>54.5</v>
      </c>
      <c r="O33" s="21">
        <v>45.5</v>
      </c>
      <c r="P33" s="21">
        <v>42.5</v>
      </c>
      <c r="Q33" s="22">
        <v>42.5</v>
      </c>
      <c r="R33" s="22">
        <v>44.2</v>
      </c>
      <c r="S33" s="22">
        <v>45.2</v>
      </c>
      <c r="T33" s="50"/>
      <c r="V33"/>
    </row>
    <row r="34" spans="1:22" s="3" customFormat="1">
      <c r="A34" s="3" t="s">
        <v>717</v>
      </c>
      <c r="B34" s="3" t="s">
        <v>31</v>
      </c>
      <c r="C34" s="156">
        <v>106.5</v>
      </c>
      <c r="D34" s="156">
        <v>106.5</v>
      </c>
      <c r="E34" s="129">
        <v>102</v>
      </c>
      <c r="F34" s="129">
        <v>105</v>
      </c>
      <c r="G34" s="129">
        <v>104</v>
      </c>
      <c r="H34">
        <v>103</v>
      </c>
      <c r="I34">
        <v>108.5</v>
      </c>
      <c r="J34">
        <v>109.5</v>
      </c>
      <c r="K34" s="9">
        <v>127.5</v>
      </c>
      <c r="L34" s="9">
        <v>124.5</v>
      </c>
      <c r="M34" s="9">
        <v>121.5</v>
      </c>
      <c r="N34" s="21">
        <v>120.5</v>
      </c>
      <c r="O34" s="21">
        <v>130.5</v>
      </c>
      <c r="P34" s="21">
        <v>131</v>
      </c>
      <c r="Q34" s="22">
        <v>136</v>
      </c>
      <c r="R34" s="22">
        <v>141.1</v>
      </c>
      <c r="S34" s="22">
        <v>133.1</v>
      </c>
      <c r="T34" s="50"/>
      <c r="V34"/>
    </row>
    <row r="35" spans="1:22" s="3" customFormat="1">
      <c r="A35" s="3" t="s">
        <v>718</v>
      </c>
      <c r="B35" s="27" t="s">
        <v>42</v>
      </c>
      <c r="C35" s="63">
        <f t="shared" ref="C35:D35" si="15">SUBTOTAL(9,C36:C48)</f>
        <v>1310.5</v>
      </c>
      <c r="D35" s="63">
        <f t="shared" si="15"/>
        <v>1303.5</v>
      </c>
      <c r="E35" s="63">
        <f t="shared" ref="E35:L35" si="16">SUBTOTAL(9,E36:E48)</f>
        <v>1288.5</v>
      </c>
      <c r="F35" s="63">
        <f t="shared" si="16"/>
        <v>1323.5</v>
      </c>
      <c r="G35" s="63">
        <f t="shared" si="16"/>
        <v>1295.5</v>
      </c>
      <c r="H35" s="63">
        <f t="shared" si="16"/>
        <v>1259.0999999999999</v>
      </c>
      <c r="I35" s="63">
        <f t="shared" si="16"/>
        <v>1192.3</v>
      </c>
      <c r="J35" s="63">
        <f t="shared" si="16"/>
        <v>1210.8000000000002</v>
      </c>
      <c r="K35" s="63">
        <f t="shared" si="16"/>
        <v>1216.0999999999999</v>
      </c>
      <c r="L35" s="23">
        <f t="shared" si="16"/>
        <v>1208.8000000000002</v>
      </c>
      <c r="M35" s="23">
        <f t="shared" ref="M35" si="17">SUBTOTAL(9,M36:M48)</f>
        <v>1203.5</v>
      </c>
      <c r="N35" s="23">
        <f t="shared" ref="N35:S35" si="18">SUBTOTAL(9,N36:N48)</f>
        <v>1158.1999999999998</v>
      </c>
      <c r="O35" s="23">
        <f t="shared" si="18"/>
        <v>1008.3</v>
      </c>
      <c r="P35" s="23">
        <f t="shared" si="18"/>
        <v>932.7</v>
      </c>
      <c r="Q35" s="23">
        <f t="shared" si="18"/>
        <v>904.7</v>
      </c>
      <c r="R35" s="23">
        <f t="shared" si="18"/>
        <v>877.40000000000009</v>
      </c>
      <c r="S35" s="23">
        <f t="shared" si="18"/>
        <v>820.2</v>
      </c>
      <c r="T35" s="50"/>
      <c r="V35"/>
    </row>
    <row r="36" spans="1:22" s="3" customFormat="1">
      <c r="A36" s="3" t="s">
        <v>719</v>
      </c>
      <c r="B36" s="3" t="s">
        <v>33</v>
      </c>
      <c r="C36" s="156">
        <v>6</v>
      </c>
      <c r="D36" s="156">
        <v>7</v>
      </c>
      <c r="E36" s="131">
        <v>7</v>
      </c>
      <c r="F36" s="131">
        <v>7</v>
      </c>
      <c r="G36" s="131">
        <v>7</v>
      </c>
      <c r="H36">
        <v>7</v>
      </c>
      <c r="I36">
        <v>7</v>
      </c>
      <c r="J36">
        <v>7</v>
      </c>
      <c r="K36" s="7">
        <v>8</v>
      </c>
      <c r="L36" s="7">
        <v>9</v>
      </c>
      <c r="M36" s="7">
        <v>8</v>
      </c>
      <c r="N36" s="21">
        <v>8</v>
      </c>
      <c r="O36" s="21">
        <v>8</v>
      </c>
      <c r="P36" s="21">
        <v>7</v>
      </c>
      <c r="Q36" s="22">
        <v>7</v>
      </c>
      <c r="R36" s="22">
        <v>7</v>
      </c>
      <c r="S36" s="22">
        <v>7</v>
      </c>
      <c r="T36" s="50"/>
      <c r="V36"/>
    </row>
    <row r="37" spans="1:22" s="3" customFormat="1">
      <c r="A37" s="3" t="s">
        <v>720</v>
      </c>
      <c r="B37" s="3" t="s">
        <v>34</v>
      </c>
      <c r="C37" s="156">
        <v>3</v>
      </c>
      <c r="D37" s="156">
        <v>3</v>
      </c>
      <c r="E37" s="131">
        <v>3</v>
      </c>
      <c r="F37" s="131">
        <v>4</v>
      </c>
      <c r="G37" s="131">
        <v>4</v>
      </c>
      <c r="H37">
        <v>4</v>
      </c>
      <c r="I37">
        <v>4</v>
      </c>
      <c r="J37">
        <v>4</v>
      </c>
      <c r="K37" s="7">
        <v>4</v>
      </c>
      <c r="L37" s="7">
        <v>4</v>
      </c>
      <c r="M37" s="7">
        <v>4</v>
      </c>
      <c r="N37" s="21">
        <v>5</v>
      </c>
      <c r="O37" s="21">
        <v>5</v>
      </c>
      <c r="P37" s="21">
        <v>5</v>
      </c>
      <c r="Q37" s="22">
        <v>4</v>
      </c>
      <c r="R37" s="22">
        <v>3</v>
      </c>
      <c r="S37" s="22">
        <v>3</v>
      </c>
      <c r="T37" s="50"/>
      <c r="V37"/>
    </row>
    <row r="38" spans="1:22" s="3" customFormat="1">
      <c r="A38" s="3" t="s">
        <v>721</v>
      </c>
      <c r="B38" s="3" t="s">
        <v>35</v>
      </c>
      <c r="C38" s="156">
        <v>7</v>
      </c>
      <c r="D38" s="156">
        <v>7</v>
      </c>
      <c r="E38" s="131">
        <v>6</v>
      </c>
      <c r="F38" s="131">
        <v>6</v>
      </c>
      <c r="G38" s="131">
        <v>4</v>
      </c>
      <c r="H38">
        <v>4</v>
      </c>
      <c r="I38">
        <v>2</v>
      </c>
      <c r="J38">
        <v>4</v>
      </c>
      <c r="K38" s="7">
        <v>4</v>
      </c>
      <c r="L38" s="7">
        <v>4</v>
      </c>
      <c r="M38" s="7">
        <v>4</v>
      </c>
      <c r="N38" s="21">
        <v>4</v>
      </c>
      <c r="O38" s="21">
        <v>3</v>
      </c>
      <c r="P38" s="21">
        <v>3</v>
      </c>
      <c r="Q38" s="22">
        <v>3</v>
      </c>
      <c r="R38" s="22">
        <v>3</v>
      </c>
      <c r="S38" s="22">
        <v>3</v>
      </c>
      <c r="T38" s="50"/>
      <c r="V38"/>
    </row>
    <row r="39" spans="1:22" s="3" customFormat="1">
      <c r="A39" s="3" t="s">
        <v>722</v>
      </c>
      <c r="B39" s="3" t="s">
        <v>36</v>
      </c>
      <c r="C39" s="157">
        <v>84</v>
      </c>
      <c r="D39" s="157">
        <v>80</v>
      </c>
      <c r="E39" s="130">
        <v>75</v>
      </c>
      <c r="F39" s="130">
        <v>79</v>
      </c>
      <c r="G39" s="130">
        <v>77</v>
      </c>
      <c r="H39">
        <v>64</v>
      </c>
      <c r="I39">
        <v>57</v>
      </c>
      <c r="J39">
        <v>48</v>
      </c>
      <c r="K39" s="7">
        <v>0</v>
      </c>
      <c r="L39" s="7">
        <v>0</v>
      </c>
      <c r="M39" s="7">
        <v>0</v>
      </c>
      <c r="V39"/>
    </row>
    <row r="40" spans="1:22" s="3" customFormat="1">
      <c r="A40" s="3" t="s">
        <v>723</v>
      </c>
      <c r="B40" s="22" t="s">
        <v>171</v>
      </c>
      <c r="C40" s="156">
        <v>3</v>
      </c>
      <c r="D40" s="156">
        <v>3</v>
      </c>
      <c r="E40" s="131">
        <v>3</v>
      </c>
      <c r="F40" s="131">
        <v>5</v>
      </c>
      <c r="G40" s="131">
        <v>3</v>
      </c>
      <c r="H40"/>
      <c r="I40"/>
      <c r="J40"/>
      <c r="K40" s="3">
        <v>0</v>
      </c>
      <c r="L40" s="3">
        <v>0</v>
      </c>
      <c r="M40" s="3">
        <v>0</v>
      </c>
      <c r="N40" s="22"/>
      <c r="V40"/>
    </row>
    <row r="41" spans="1:22" s="3" customFormat="1">
      <c r="A41" s="3" t="s">
        <v>724</v>
      </c>
      <c r="B41" s="3" t="s">
        <v>7</v>
      </c>
      <c r="C41" s="157">
        <v>25</v>
      </c>
      <c r="D41" s="157">
        <v>25</v>
      </c>
      <c r="E41" s="130">
        <v>25</v>
      </c>
      <c r="F41" s="130">
        <v>25</v>
      </c>
      <c r="G41" s="130">
        <v>25</v>
      </c>
      <c r="H41">
        <v>25</v>
      </c>
      <c r="I41">
        <v>25</v>
      </c>
      <c r="J41">
        <v>25</v>
      </c>
      <c r="K41" s="8">
        <v>25</v>
      </c>
      <c r="L41" s="8">
        <v>25</v>
      </c>
      <c r="M41" s="8">
        <v>25</v>
      </c>
      <c r="N41" s="21">
        <v>25</v>
      </c>
      <c r="O41" s="21">
        <v>0</v>
      </c>
      <c r="P41" s="21">
        <v>0</v>
      </c>
      <c r="Q41" s="3">
        <v>0</v>
      </c>
      <c r="R41" s="3">
        <v>0</v>
      </c>
      <c r="S41" s="3">
        <v>0</v>
      </c>
      <c r="T41" s="50"/>
      <c r="V41"/>
    </row>
    <row r="42" spans="1:22" s="3" customFormat="1">
      <c r="A42" s="3" t="s">
        <v>725</v>
      </c>
      <c r="B42" s="3" t="s">
        <v>37</v>
      </c>
      <c r="C42" s="158">
        <v>160</v>
      </c>
      <c r="D42" s="158">
        <v>160</v>
      </c>
      <c r="E42" s="131">
        <v>154.5</v>
      </c>
      <c r="F42" s="131">
        <v>154.5</v>
      </c>
      <c r="G42" s="131">
        <v>147.5</v>
      </c>
      <c r="H42">
        <v>144.5</v>
      </c>
      <c r="I42">
        <v>142.5</v>
      </c>
      <c r="J42">
        <v>141.5</v>
      </c>
      <c r="K42" s="7">
        <v>151.5</v>
      </c>
      <c r="L42" s="7">
        <v>148.5</v>
      </c>
      <c r="M42" s="10">
        <v>150</v>
      </c>
      <c r="N42" s="21">
        <v>153</v>
      </c>
      <c r="O42" s="21">
        <v>153</v>
      </c>
      <c r="P42" s="21">
        <v>152</v>
      </c>
      <c r="Q42" s="22">
        <v>147.5</v>
      </c>
      <c r="R42" s="22">
        <v>144</v>
      </c>
      <c r="S42" s="22">
        <v>131.5</v>
      </c>
      <c r="T42" s="50"/>
      <c r="V42"/>
    </row>
    <row r="43" spans="1:22" s="3" customFormat="1">
      <c r="A43" s="3" t="s">
        <v>726</v>
      </c>
      <c r="B43" s="3" t="s">
        <v>38</v>
      </c>
      <c r="C43" s="158">
        <v>151</v>
      </c>
      <c r="D43" s="158">
        <v>151</v>
      </c>
      <c r="E43" s="131">
        <v>145.5</v>
      </c>
      <c r="F43" s="131">
        <v>144.5</v>
      </c>
      <c r="G43" s="131">
        <v>133.5</v>
      </c>
      <c r="H43">
        <v>130</v>
      </c>
      <c r="I43">
        <v>127.5</v>
      </c>
      <c r="J43">
        <v>127</v>
      </c>
      <c r="K43" s="7">
        <v>123.5</v>
      </c>
      <c r="L43" s="10">
        <v>121</v>
      </c>
      <c r="M43" s="10">
        <v>123</v>
      </c>
      <c r="N43" s="21">
        <v>124</v>
      </c>
      <c r="O43" s="21">
        <v>124</v>
      </c>
      <c r="P43" s="21">
        <v>123</v>
      </c>
      <c r="Q43" s="22">
        <v>119</v>
      </c>
      <c r="R43" s="22">
        <v>116.5</v>
      </c>
      <c r="S43" s="22">
        <v>113.5</v>
      </c>
      <c r="T43" s="50"/>
      <c r="V43"/>
    </row>
    <row r="44" spans="1:22" s="3" customFormat="1">
      <c r="A44" s="3" t="s">
        <v>727</v>
      </c>
      <c r="B44" s="3" t="s">
        <v>39</v>
      </c>
      <c r="C44" s="156">
        <v>119.5</v>
      </c>
      <c r="D44" s="156">
        <v>115.5</v>
      </c>
      <c r="E44" s="131">
        <v>117.5</v>
      </c>
      <c r="F44" s="129">
        <v>124</v>
      </c>
      <c r="G44" s="129">
        <v>122</v>
      </c>
      <c r="H44">
        <v>116</v>
      </c>
      <c r="I44">
        <v>114</v>
      </c>
      <c r="J44">
        <v>118</v>
      </c>
      <c r="K44" s="10">
        <v>137</v>
      </c>
      <c r="L44" s="10">
        <v>138</v>
      </c>
      <c r="M44" s="10">
        <v>135</v>
      </c>
      <c r="N44" s="21">
        <v>130</v>
      </c>
      <c r="O44" s="21">
        <v>127</v>
      </c>
      <c r="P44" s="21">
        <v>120</v>
      </c>
      <c r="Q44" s="22">
        <v>118.5</v>
      </c>
      <c r="R44" s="22">
        <v>114</v>
      </c>
      <c r="S44" s="22">
        <v>105</v>
      </c>
      <c r="T44" s="50"/>
      <c r="V44"/>
    </row>
    <row r="45" spans="1:22" s="3" customFormat="1">
      <c r="A45" s="3" t="s">
        <v>728</v>
      </c>
      <c r="B45" s="3" t="s">
        <v>40</v>
      </c>
      <c r="C45" s="158">
        <v>207</v>
      </c>
      <c r="D45" s="158">
        <v>206</v>
      </c>
      <c r="E45" s="129">
        <v>206</v>
      </c>
      <c r="F45" s="131">
        <v>208.5</v>
      </c>
      <c r="G45" s="131">
        <v>206.5</v>
      </c>
      <c r="H45">
        <v>210.1</v>
      </c>
      <c r="I45">
        <v>206.6</v>
      </c>
      <c r="J45">
        <v>219.6</v>
      </c>
      <c r="K45" s="7">
        <v>237.4</v>
      </c>
      <c r="L45" s="7">
        <v>237.6</v>
      </c>
      <c r="M45" s="7">
        <v>222.8</v>
      </c>
      <c r="N45" s="21">
        <v>204.3</v>
      </c>
      <c r="O45" s="21">
        <v>179.3</v>
      </c>
      <c r="P45" s="21">
        <v>162</v>
      </c>
      <c r="Q45" s="22">
        <v>154.5</v>
      </c>
      <c r="R45" s="22">
        <v>137.19999999999999</v>
      </c>
      <c r="S45" s="22">
        <v>132.30000000000001</v>
      </c>
      <c r="T45" s="50"/>
      <c r="V45"/>
    </row>
    <row r="46" spans="1:22" s="3" customFormat="1">
      <c r="B46" s="3" t="s">
        <v>650</v>
      </c>
      <c r="C46" s="22"/>
      <c r="D46" s="22"/>
      <c r="E46" s="129"/>
      <c r="F46" s="129"/>
      <c r="G46" s="129"/>
      <c r="H46"/>
      <c r="I46"/>
      <c r="J46"/>
      <c r="K46" s="7"/>
      <c r="L46" s="7"/>
      <c r="M46" s="7"/>
      <c r="N46" s="22">
        <v>0</v>
      </c>
      <c r="O46" s="21">
        <v>0</v>
      </c>
      <c r="P46" s="21">
        <v>0</v>
      </c>
      <c r="Q46" s="21">
        <v>2</v>
      </c>
      <c r="R46" s="21">
        <v>2</v>
      </c>
      <c r="S46" s="21">
        <v>3</v>
      </c>
      <c r="T46" s="50"/>
      <c r="V46"/>
    </row>
    <row r="47" spans="1:22">
      <c r="A47" s="3" t="s">
        <v>729</v>
      </c>
      <c r="B47" s="3" t="s">
        <v>41</v>
      </c>
      <c r="C47" s="158">
        <v>545</v>
      </c>
      <c r="D47" s="158">
        <v>546</v>
      </c>
      <c r="E47" s="129">
        <v>546</v>
      </c>
      <c r="F47" s="129">
        <v>566</v>
      </c>
      <c r="G47" s="129">
        <v>566</v>
      </c>
      <c r="H47">
        <v>554.5</v>
      </c>
      <c r="I47">
        <v>506.7</v>
      </c>
      <c r="J47">
        <v>516.70000000000005</v>
      </c>
      <c r="K47" s="7">
        <v>525.70000000000005</v>
      </c>
      <c r="L47" s="7">
        <v>521.70000000000005</v>
      </c>
      <c r="M47" s="7">
        <v>531.70000000000005</v>
      </c>
      <c r="N47" s="21">
        <v>504.9</v>
      </c>
      <c r="O47" s="21">
        <v>409</v>
      </c>
      <c r="P47" s="21">
        <v>357.7</v>
      </c>
      <c r="Q47" s="21">
        <v>346.2</v>
      </c>
      <c r="R47" s="21">
        <v>347.7</v>
      </c>
      <c r="S47" s="21">
        <v>318.89999999999998</v>
      </c>
      <c r="T47" s="50"/>
      <c r="V47"/>
    </row>
    <row r="48" spans="1:22">
      <c r="A48" s="3"/>
      <c r="B48" s="3" t="s">
        <v>651</v>
      </c>
      <c r="C48" s="50"/>
      <c r="D48" s="50"/>
      <c r="E48" s="50"/>
      <c r="F48"/>
      <c r="G48"/>
      <c r="H48"/>
      <c r="I48"/>
      <c r="J48"/>
      <c r="K48" s="51"/>
      <c r="L48" s="51"/>
      <c r="M48" s="51"/>
      <c r="N48" s="21">
        <v>0</v>
      </c>
      <c r="O48" s="21">
        <v>0</v>
      </c>
      <c r="P48" s="21">
        <v>3</v>
      </c>
      <c r="Q48" s="21">
        <v>3</v>
      </c>
      <c r="R48" s="21">
        <v>3</v>
      </c>
      <c r="S48" s="21">
        <v>3</v>
      </c>
      <c r="T48" s="50"/>
      <c r="V48"/>
    </row>
    <row r="49" spans="1:22">
      <c r="A49" s="3" t="s">
        <v>730</v>
      </c>
      <c r="B49" s="27" t="s">
        <v>46</v>
      </c>
      <c r="C49" s="63">
        <f t="shared" ref="C49:D49" si="19">SUBTOTAL(9,C50:C53)</f>
        <v>495.6</v>
      </c>
      <c r="D49" s="63">
        <f t="shared" si="19"/>
        <v>494.6</v>
      </c>
      <c r="E49" s="63">
        <f t="shared" ref="E49:L49" si="20">SUBTOTAL(9,E50:E53)</f>
        <v>498.6</v>
      </c>
      <c r="F49" s="63">
        <f t="shared" si="20"/>
        <v>513.6</v>
      </c>
      <c r="G49" s="63">
        <f t="shared" si="20"/>
        <v>487.6</v>
      </c>
      <c r="H49" s="63">
        <f t="shared" si="20"/>
        <v>438.6</v>
      </c>
      <c r="I49" s="63">
        <f t="shared" si="20"/>
        <v>431.6</v>
      </c>
      <c r="J49" s="63">
        <f t="shared" si="20"/>
        <v>438.1</v>
      </c>
      <c r="K49" s="63">
        <f t="shared" si="20"/>
        <v>448.1</v>
      </c>
      <c r="L49" s="63">
        <f t="shared" si="20"/>
        <v>446.1</v>
      </c>
      <c r="M49" s="63">
        <f t="shared" ref="M49" si="21">SUBTOTAL(9,M50:M53)</f>
        <v>446.6</v>
      </c>
      <c r="N49" s="23">
        <f t="shared" ref="N49:S49" si="22">SUBTOTAL(9,N50:N53)</f>
        <v>445.6</v>
      </c>
      <c r="O49" s="23">
        <f t="shared" si="22"/>
        <v>430.6</v>
      </c>
      <c r="P49" s="23">
        <f t="shared" si="22"/>
        <v>422.6</v>
      </c>
      <c r="Q49" s="23">
        <f t="shared" si="22"/>
        <v>431.1</v>
      </c>
      <c r="R49" s="23">
        <f t="shared" si="22"/>
        <v>427.6</v>
      </c>
      <c r="S49" s="23">
        <f t="shared" si="22"/>
        <v>418.9</v>
      </c>
      <c r="T49" s="50"/>
      <c r="V49"/>
    </row>
    <row r="50" spans="1:22">
      <c r="A50" s="3" t="s">
        <v>731</v>
      </c>
      <c r="B50" s="3" t="s">
        <v>43</v>
      </c>
      <c r="C50" s="156">
        <v>305.60000000000002</v>
      </c>
      <c r="D50" s="156">
        <v>305.60000000000002</v>
      </c>
      <c r="E50" s="131">
        <v>308.60000000000002</v>
      </c>
      <c r="F50" s="131">
        <v>323.60000000000002</v>
      </c>
      <c r="G50" s="131">
        <v>299.60000000000002</v>
      </c>
      <c r="H50">
        <v>250.6</v>
      </c>
      <c r="I50">
        <v>243.6</v>
      </c>
      <c r="J50">
        <v>251.6</v>
      </c>
      <c r="K50" s="7">
        <v>260.60000000000002</v>
      </c>
      <c r="L50" s="7">
        <v>258.60000000000002</v>
      </c>
      <c r="M50" s="7">
        <v>259.10000000000002</v>
      </c>
      <c r="N50" s="21">
        <v>258.10000000000002</v>
      </c>
      <c r="O50" s="21">
        <v>253.1</v>
      </c>
      <c r="P50" s="21">
        <v>245.1</v>
      </c>
      <c r="Q50" s="21">
        <v>252.6</v>
      </c>
      <c r="R50" s="21">
        <v>250.1</v>
      </c>
      <c r="S50" s="21">
        <v>242.4</v>
      </c>
      <c r="T50" s="50"/>
      <c r="V50"/>
    </row>
    <row r="51" spans="1:22">
      <c r="A51" s="3" t="s">
        <v>732</v>
      </c>
      <c r="B51" s="3" t="s">
        <v>44</v>
      </c>
      <c r="C51" s="157">
        <v>46</v>
      </c>
      <c r="D51" s="157">
        <v>45</v>
      </c>
      <c r="E51" s="130">
        <v>45</v>
      </c>
      <c r="F51" s="130">
        <v>45</v>
      </c>
      <c r="G51" s="130">
        <v>45</v>
      </c>
      <c r="H51">
        <v>45</v>
      </c>
      <c r="I51">
        <v>45</v>
      </c>
      <c r="J51">
        <v>46</v>
      </c>
      <c r="K51" s="8">
        <v>46</v>
      </c>
      <c r="L51" s="8">
        <v>46</v>
      </c>
      <c r="M51" s="8">
        <v>46</v>
      </c>
      <c r="N51" s="21">
        <v>46</v>
      </c>
      <c r="O51" s="21">
        <v>42</v>
      </c>
      <c r="P51" s="21">
        <v>42</v>
      </c>
      <c r="Q51" s="21">
        <v>43</v>
      </c>
      <c r="R51" s="21">
        <v>43</v>
      </c>
      <c r="S51" s="21">
        <v>42</v>
      </c>
      <c r="T51" s="50"/>
      <c r="V51"/>
    </row>
    <row r="52" spans="1:22">
      <c r="A52" s="3" t="s">
        <v>733</v>
      </c>
      <c r="B52" s="3" t="s">
        <v>11</v>
      </c>
      <c r="C52" s="157">
        <v>25</v>
      </c>
      <c r="D52" s="157">
        <v>25</v>
      </c>
      <c r="E52" s="130">
        <v>25</v>
      </c>
      <c r="F52" s="130">
        <v>25</v>
      </c>
      <c r="G52" s="130">
        <v>25</v>
      </c>
      <c r="H52">
        <v>25</v>
      </c>
      <c r="I52">
        <v>25</v>
      </c>
      <c r="J52">
        <v>25</v>
      </c>
      <c r="K52" s="8">
        <v>25</v>
      </c>
      <c r="L52" s="8">
        <v>25</v>
      </c>
      <c r="M52" s="8">
        <v>25</v>
      </c>
      <c r="N52" s="21">
        <v>25</v>
      </c>
      <c r="O52" s="21">
        <v>24</v>
      </c>
      <c r="P52" s="21">
        <v>24</v>
      </c>
      <c r="Q52" s="21">
        <v>24</v>
      </c>
      <c r="R52" s="21">
        <v>24</v>
      </c>
      <c r="S52" s="21">
        <v>24</v>
      </c>
      <c r="T52" s="50"/>
      <c r="V52"/>
    </row>
    <row r="53" spans="1:22">
      <c r="A53" s="3" t="s">
        <v>734</v>
      </c>
      <c r="B53" s="3" t="s">
        <v>45</v>
      </c>
      <c r="C53" s="158">
        <v>119</v>
      </c>
      <c r="D53" s="158">
        <v>119</v>
      </c>
      <c r="E53" s="129">
        <v>120</v>
      </c>
      <c r="F53" s="129">
        <v>120</v>
      </c>
      <c r="G53" s="129">
        <v>118</v>
      </c>
      <c r="H53">
        <v>118</v>
      </c>
      <c r="I53">
        <v>118</v>
      </c>
      <c r="J53">
        <v>115.5</v>
      </c>
      <c r="K53" s="9">
        <v>116.5</v>
      </c>
      <c r="L53" s="9">
        <v>116.5</v>
      </c>
      <c r="M53" s="9">
        <v>116.5</v>
      </c>
      <c r="N53" s="21">
        <v>116.5</v>
      </c>
      <c r="O53" s="21">
        <v>111.5</v>
      </c>
      <c r="P53" s="21">
        <v>111.5</v>
      </c>
      <c r="Q53" s="21">
        <v>111.5</v>
      </c>
      <c r="R53" s="21">
        <v>110.5</v>
      </c>
      <c r="S53" s="21">
        <v>110.5</v>
      </c>
      <c r="T53" s="50"/>
      <c r="V53"/>
    </row>
    <row r="54" spans="1:22">
      <c r="A54" s="3" t="s">
        <v>735</v>
      </c>
      <c r="B54" s="27" t="s">
        <v>72</v>
      </c>
      <c r="C54" s="63">
        <f t="shared" ref="C54:D54" si="23">SUBTOTAL(9,C55:C83)</f>
        <v>15269.699999999999</v>
      </c>
      <c r="D54" s="63">
        <f t="shared" si="23"/>
        <v>15161.699999999999</v>
      </c>
      <c r="E54" s="63">
        <f t="shared" ref="E54:L54" si="24">SUBTOTAL(9,E55:E83)</f>
        <v>14851.2</v>
      </c>
      <c r="F54" s="63">
        <f t="shared" si="24"/>
        <v>14978.799999999997</v>
      </c>
      <c r="G54" s="63">
        <f t="shared" si="24"/>
        <v>14721.5</v>
      </c>
      <c r="H54" s="63">
        <f t="shared" si="24"/>
        <v>14320.300000000001</v>
      </c>
      <c r="I54" s="63">
        <f t="shared" si="24"/>
        <v>13918.9</v>
      </c>
      <c r="J54" s="63">
        <f t="shared" si="24"/>
        <v>13719.099999999999</v>
      </c>
      <c r="K54" s="63">
        <f t="shared" si="24"/>
        <v>13731.9</v>
      </c>
      <c r="L54" s="23">
        <f t="shared" si="24"/>
        <v>13715.300000000001</v>
      </c>
      <c r="M54" s="23">
        <f t="shared" ref="M54" si="25">SUBTOTAL(9,M55:M83)</f>
        <v>13598.6</v>
      </c>
      <c r="N54" s="23">
        <f t="shared" ref="N54:S54" si="26">SUBTOTAL(9,N55:N83)</f>
        <v>13580.099999999999</v>
      </c>
      <c r="O54" s="23">
        <f t="shared" si="26"/>
        <v>13536.8</v>
      </c>
      <c r="P54" s="23">
        <f t="shared" si="26"/>
        <v>13336.700000000004</v>
      </c>
      <c r="Q54" s="23">
        <f t="shared" si="26"/>
        <v>13074.100000000002</v>
      </c>
      <c r="R54" s="23">
        <f t="shared" si="26"/>
        <v>12933.8</v>
      </c>
      <c r="S54" s="23">
        <f t="shared" si="26"/>
        <v>12596.699999999999</v>
      </c>
      <c r="T54" s="50"/>
      <c r="V54"/>
    </row>
    <row r="55" spans="1:22">
      <c r="A55" s="3" t="s">
        <v>736</v>
      </c>
      <c r="B55" s="3" t="s">
        <v>47</v>
      </c>
      <c r="C55" s="158">
        <v>534</v>
      </c>
      <c r="D55" s="158">
        <v>589</v>
      </c>
      <c r="E55" s="129">
        <v>574</v>
      </c>
      <c r="F55" s="129">
        <v>619</v>
      </c>
      <c r="G55" s="129">
        <v>597</v>
      </c>
      <c r="H55">
        <v>544</v>
      </c>
      <c r="I55">
        <v>472</v>
      </c>
      <c r="J55">
        <v>475.5</v>
      </c>
      <c r="K55" s="7">
        <v>454.5</v>
      </c>
      <c r="L55" s="7">
        <v>429.5</v>
      </c>
      <c r="M55" s="7">
        <v>394.5</v>
      </c>
      <c r="N55" s="21">
        <v>378.5</v>
      </c>
      <c r="O55" s="21">
        <v>373</v>
      </c>
      <c r="P55" s="21">
        <v>291</v>
      </c>
      <c r="Q55" s="21">
        <v>256</v>
      </c>
      <c r="R55" s="21">
        <v>253.5</v>
      </c>
      <c r="S55" s="21">
        <v>262.5</v>
      </c>
      <c r="T55" s="50"/>
      <c r="V55"/>
    </row>
    <row r="56" spans="1:22">
      <c r="A56" s="3" t="s">
        <v>737</v>
      </c>
      <c r="B56" s="3" t="s">
        <v>48</v>
      </c>
      <c r="C56" s="159">
        <v>3877.5</v>
      </c>
      <c r="D56" s="160">
        <v>3899</v>
      </c>
      <c r="E56" s="133">
        <v>3989</v>
      </c>
      <c r="F56" s="134">
        <v>4064.3</v>
      </c>
      <c r="G56" s="134">
        <v>3977.3</v>
      </c>
      <c r="H56">
        <v>3811.4</v>
      </c>
      <c r="I56">
        <v>3671.5</v>
      </c>
      <c r="J56">
        <v>3613.5</v>
      </c>
      <c r="K56" s="14">
        <v>3538.8</v>
      </c>
      <c r="L56" s="14">
        <v>3522.8</v>
      </c>
      <c r="M56" s="14">
        <v>3522.5</v>
      </c>
      <c r="N56" s="21">
        <v>3533</v>
      </c>
      <c r="O56" s="21">
        <v>3527</v>
      </c>
      <c r="P56" s="21">
        <v>3240</v>
      </c>
      <c r="Q56" s="21">
        <v>3192</v>
      </c>
      <c r="R56" s="21">
        <v>3178.5</v>
      </c>
      <c r="S56" s="21">
        <v>3181</v>
      </c>
      <c r="T56" s="50"/>
      <c r="V56"/>
    </row>
    <row r="57" spans="1:22">
      <c r="A57" s="3" t="s">
        <v>738</v>
      </c>
      <c r="B57" s="3" t="s">
        <v>49</v>
      </c>
      <c r="C57" s="156">
        <v>861.4</v>
      </c>
      <c r="D57" s="156">
        <v>871.4</v>
      </c>
      <c r="E57" s="131">
        <v>741.2</v>
      </c>
      <c r="F57" s="131">
        <v>755.2</v>
      </c>
      <c r="G57" s="131">
        <v>736.4</v>
      </c>
      <c r="H57">
        <v>707.4</v>
      </c>
      <c r="I57">
        <v>678.4</v>
      </c>
      <c r="J57">
        <v>662.4</v>
      </c>
      <c r="K57" s="7">
        <v>647.20000000000005</v>
      </c>
      <c r="L57" s="7">
        <v>638.6</v>
      </c>
      <c r="M57" s="7">
        <v>627.4</v>
      </c>
      <c r="N57" s="21">
        <v>457.4</v>
      </c>
      <c r="O57" s="21">
        <v>458.8</v>
      </c>
      <c r="P57" s="21">
        <v>455.6</v>
      </c>
      <c r="Q57" s="21">
        <v>443</v>
      </c>
      <c r="R57" s="21">
        <v>445.8</v>
      </c>
      <c r="S57" s="21">
        <v>424</v>
      </c>
      <c r="T57" s="50"/>
      <c r="V57"/>
    </row>
    <row r="58" spans="1:22">
      <c r="A58" s="3" t="s">
        <v>739</v>
      </c>
      <c r="B58" s="3" t="s">
        <v>50</v>
      </c>
      <c r="C58" s="160">
        <v>1495</v>
      </c>
      <c r="D58" s="159">
        <v>1487.1</v>
      </c>
      <c r="E58" s="133">
        <v>1429</v>
      </c>
      <c r="F58" s="134">
        <v>1449.1</v>
      </c>
      <c r="G58" s="134">
        <v>1457.8</v>
      </c>
      <c r="H58">
        <v>1389.5</v>
      </c>
      <c r="I58">
        <v>1397.2</v>
      </c>
      <c r="J58">
        <v>1392.2</v>
      </c>
      <c r="K58" s="15">
        <v>1403</v>
      </c>
      <c r="L58" s="14">
        <v>1399.8</v>
      </c>
      <c r="M58" s="14">
        <v>1388.5</v>
      </c>
      <c r="N58" s="21">
        <v>1390.4</v>
      </c>
      <c r="O58" s="21">
        <v>1414</v>
      </c>
      <c r="P58" s="21">
        <v>1413.3</v>
      </c>
      <c r="Q58" s="21">
        <v>1390</v>
      </c>
      <c r="R58" s="21">
        <v>1318.7</v>
      </c>
      <c r="S58" s="21">
        <v>1264.7</v>
      </c>
      <c r="T58" s="50"/>
      <c r="V58"/>
    </row>
    <row r="59" spans="1:22">
      <c r="A59" s="3" t="s">
        <v>740</v>
      </c>
      <c r="B59" s="3" t="s">
        <v>51</v>
      </c>
      <c r="C59" s="159">
        <v>2775.6</v>
      </c>
      <c r="D59" s="159">
        <v>2737.4</v>
      </c>
      <c r="E59">
        <v>2630.5</v>
      </c>
      <c r="F59">
        <v>2672.7</v>
      </c>
      <c r="G59">
        <v>2673.4</v>
      </c>
      <c r="H59">
        <v>2603.6</v>
      </c>
      <c r="I59">
        <v>2519.9</v>
      </c>
      <c r="J59">
        <v>2446.5</v>
      </c>
      <c r="K59" s="14">
        <v>2463.1</v>
      </c>
      <c r="L59" s="15">
        <v>2493</v>
      </c>
      <c r="M59" s="14">
        <v>2500.1</v>
      </c>
      <c r="N59" s="21">
        <v>2511.8000000000002</v>
      </c>
      <c r="O59" s="21">
        <v>2525.1</v>
      </c>
      <c r="P59" s="21">
        <v>2482.6999999999998</v>
      </c>
      <c r="Q59" s="21">
        <v>2399.5</v>
      </c>
      <c r="R59" s="21">
        <v>2305.8000000000002</v>
      </c>
      <c r="S59" s="21">
        <v>2269.6</v>
      </c>
      <c r="T59" s="50"/>
      <c r="V59"/>
    </row>
    <row r="60" spans="1:22">
      <c r="A60" s="3" t="s">
        <v>741</v>
      </c>
      <c r="B60" s="3" t="s">
        <v>52</v>
      </c>
      <c r="C60" s="159">
        <v>3093.3</v>
      </c>
      <c r="D60" s="159">
        <v>3069.4</v>
      </c>
      <c r="E60">
        <v>3029.6</v>
      </c>
      <c r="F60">
        <v>2999.3</v>
      </c>
      <c r="G60">
        <v>2947.3</v>
      </c>
      <c r="H60">
        <v>2878.4</v>
      </c>
      <c r="I60">
        <v>2814</v>
      </c>
      <c r="J60">
        <v>2771.2</v>
      </c>
      <c r="K60" s="15">
        <v>2757</v>
      </c>
      <c r="L60" s="14">
        <v>2719.2</v>
      </c>
      <c r="M60" s="14">
        <v>2725.3</v>
      </c>
      <c r="N60" s="21">
        <v>2735.6</v>
      </c>
      <c r="O60" s="21">
        <v>2754.2</v>
      </c>
      <c r="P60" s="21">
        <v>2758.4</v>
      </c>
      <c r="Q60" s="21">
        <v>2702</v>
      </c>
      <c r="R60" s="21">
        <v>2735.6</v>
      </c>
      <c r="S60" s="21">
        <v>2543.8000000000002</v>
      </c>
      <c r="T60" s="50"/>
      <c r="V60"/>
    </row>
    <row r="61" spans="1:22">
      <c r="A61" s="3" t="s">
        <v>742</v>
      </c>
      <c r="B61" s="3" t="s">
        <v>53</v>
      </c>
      <c r="C61" s="158">
        <v>201</v>
      </c>
      <c r="D61" s="158">
        <v>201</v>
      </c>
      <c r="E61" s="129">
        <v>203</v>
      </c>
      <c r="F61" s="129">
        <v>201</v>
      </c>
      <c r="G61" s="129">
        <v>199</v>
      </c>
      <c r="H61">
        <v>195</v>
      </c>
      <c r="I61">
        <v>197</v>
      </c>
      <c r="J61">
        <v>197</v>
      </c>
      <c r="K61" s="10">
        <v>195</v>
      </c>
      <c r="L61" s="10">
        <v>193</v>
      </c>
      <c r="M61" s="10">
        <v>194</v>
      </c>
      <c r="N61" s="21">
        <v>192</v>
      </c>
      <c r="O61" s="21">
        <v>190</v>
      </c>
      <c r="P61" s="21">
        <v>188</v>
      </c>
      <c r="Q61" s="21">
        <v>190</v>
      </c>
      <c r="R61" s="21">
        <v>192</v>
      </c>
      <c r="S61" s="21">
        <v>189</v>
      </c>
      <c r="T61" s="50"/>
      <c r="V61"/>
    </row>
    <row r="62" spans="1:22">
      <c r="A62" s="3"/>
      <c r="B62" s="3" t="s">
        <v>54</v>
      </c>
      <c r="C62" s="21"/>
      <c r="D62" s="21"/>
      <c r="E62" s="50"/>
      <c r="F62" s="5">
        <v>0</v>
      </c>
      <c r="G62" s="5">
        <v>0</v>
      </c>
      <c r="H62" s="5">
        <v>0</v>
      </c>
      <c r="I62" s="5">
        <v>0</v>
      </c>
      <c r="J62" s="5">
        <v>0</v>
      </c>
      <c r="K62" s="7">
        <v>2</v>
      </c>
      <c r="L62" s="7">
        <v>0.5</v>
      </c>
      <c r="M62" s="7">
        <v>0.5</v>
      </c>
      <c r="N62" s="21">
        <v>0.5</v>
      </c>
      <c r="O62" s="21">
        <v>0.5</v>
      </c>
      <c r="P62" s="21">
        <v>0.5</v>
      </c>
      <c r="Q62" s="21">
        <v>0.5</v>
      </c>
      <c r="R62" s="21">
        <v>0.5</v>
      </c>
      <c r="S62" s="21">
        <v>0.5</v>
      </c>
      <c r="T62" s="50"/>
      <c r="V62"/>
    </row>
    <row r="63" spans="1:22">
      <c r="A63" s="3"/>
      <c r="B63" s="3" t="s">
        <v>652</v>
      </c>
      <c r="C63" s="21"/>
      <c r="D63" s="21"/>
      <c r="E63" s="50"/>
      <c r="K63" s="7"/>
      <c r="L63" s="7"/>
      <c r="M63" s="7"/>
      <c r="N63" s="21">
        <v>0</v>
      </c>
      <c r="O63" s="21">
        <v>0</v>
      </c>
      <c r="P63" s="21">
        <v>0</v>
      </c>
      <c r="Q63" s="21">
        <v>0</v>
      </c>
      <c r="R63" s="21">
        <v>0</v>
      </c>
      <c r="S63" s="21">
        <v>6</v>
      </c>
      <c r="T63" s="50"/>
      <c r="V63"/>
    </row>
    <row r="64" spans="1:22">
      <c r="A64" s="3" t="s">
        <v>743</v>
      </c>
      <c r="B64" s="3" t="s">
        <v>55</v>
      </c>
      <c r="C64" s="156">
        <v>3.3</v>
      </c>
      <c r="D64" s="156">
        <v>3.3</v>
      </c>
      <c r="E64" s="131">
        <v>3.3</v>
      </c>
      <c r="F64" s="131">
        <v>3.3</v>
      </c>
      <c r="G64" s="131">
        <v>3.3</v>
      </c>
      <c r="H64">
        <v>3.3</v>
      </c>
      <c r="I64">
        <v>3.3</v>
      </c>
      <c r="J64">
        <v>3.3</v>
      </c>
      <c r="K64" s="7">
        <v>3.3</v>
      </c>
      <c r="L64" s="7">
        <v>3.3</v>
      </c>
      <c r="M64" s="7">
        <v>3.3</v>
      </c>
      <c r="N64" s="21">
        <v>160</v>
      </c>
      <c r="O64" s="21">
        <v>155</v>
      </c>
      <c r="P64" s="21">
        <v>155</v>
      </c>
      <c r="Q64" s="21">
        <v>146</v>
      </c>
      <c r="R64" s="21">
        <v>136</v>
      </c>
      <c r="S64" s="21">
        <v>126</v>
      </c>
      <c r="T64" s="50"/>
      <c r="V64"/>
    </row>
    <row r="65" spans="1:22">
      <c r="A65" s="3"/>
      <c r="B65" s="3" t="s">
        <v>98</v>
      </c>
      <c r="C65" s="21"/>
      <c r="D65" s="21"/>
      <c r="E65" s="50"/>
      <c r="F65"/>
      <c r="G65"/>
      <c r="H65"/>
      <c r="I65"/>
      <c r="J65"/>
      <c r="K65" s="7"/>
      <c r="L65" s="7"/>
      <c r="M65" s="7"/>
      <c r="N65" s="21">
        <v>0</v>
      </c>
      <c r="O65" s="21">
        <v>0</v>
      </c>
      <c r="P65" s="21">
        <v>0</v>
      </c>
      <c r="Q65" s="21">
        <v>48.4</v>
      </c>
      <c r="R65" s="21">
        <v>48.4</v>
      </c>
      <c r="S65" s="21">
        <v>42.9</v>
      </c>
      <c r="T65" s="50"/>
      <c r="V65"/>
    </row>
    <row r="66" spans="1:22">
      <c r="A66" s="3" t="s">
        <v>744</v>
      </c>
      <c r="B66" s="3" t="s">
        <v>56</v>
      </c>
      <c r="C66" s="157">
        <v>76</v>
      </c>
      <c r="D66" s="157">
        <v>76</v>
      </c>
      <c r="E66" s="130">
        <v>76</v>
      </c>
      <c r="F66" s="130">
        <v>76</v>
      </c>
      <c r="G66" s="131">
        <v>69.5</v>
      </c>
      <c r="H66">
        <v>69</v>
      </c>
      <c r="I66">
        <v>69</v>
      </c>
      <c r="J66">
        <v>69</v>
      </c>
      <c r="K66" s="8">
        <v>68</v>
      </c>
      <c r="L66" s="8">
        <v>68</v>
      </c>
      <c r="M66" s="8">
        <v>66</v>
      </c>
      <c r="N66" s="21">
        <v>64</v>
      </c>
      <c r="O66" s="21">
        <v>62</v>
      </c>
      <c r="P66" s="21">
        <v>63</v>
      </c>
      <c r="Q66" s="21">
        <v>57.6</v>
      </c>
      <c r="R66" s="21">
        <v>58</v>
      </c>
      <c r="S66" s="21">
        <v>55.6</v>
      </c>
      <c r="T66" s="50"/>
      <c r="V66"/>
    </row>
    <row r="67" spans="1:22">
      <c r="A67" s="3" t="s">
        <v>745</v>
      </c>
      <c r="B67" s="3" t="s">
        <v>57</v>
      </c>
      <c r="C67" s="158">
        <v>182</v>
      </c>
      <c r="D67" s="158">
        <v>182</v>
      </c>
      <c r="E67" s="129">
        <v>175</v>
      </c>
      <c r="F67" s="129">
        <v>172</v>
      </c>
      <c r="G67" s="131">
        <v>156.69999999999999</v>
      </c>
      <c r="H67">
        <v>157.69999999999999</v>
      </c>
      <c r="I67">
        <v>157.69999999999999</v>
      </c>
      <c r="J67">
        <v>157.69999999999999</v>
      </c>
      <c r="K67" s="7">
        <v>151.69999999999999</v>
      </c>
      <c r="L67" s="7">
        <v>151.69999999999999</v>
      </c>
      <c r="M67" s="7">
        <v>145.69999999999999</v>
      </c>
      <c r="N67" s="21">
        <v>145.69999999999999</v>
      </c>
      <c r="O67" s="21">
        <v>145.69999999999999</v>
      </c>
      <c r="P67" s="21">
        <v>147.19999999999999</v>
      </c>
      <c r="Q67" s="21">
        <v>141.19999999999999</v>
      </c>
      <c r="R67" s="21">
        <v>135.19999999999999</v>
      </c>
      <c r="S67" s="21">
        <v>127.2</v>
      </c>
      <c r="T67" s="50"/>
      <c r="V67"/>
    </row>
    <row r="68" spans="1:22">
      <c r="A68" s="3"/>
      <c r="B68" s="3" t="s">
        <v>58</v>
      </c>
      <c r="C68" s="21"/>
      <c r="D68" s="21"/>
      <c r="E68" s="50"/>
      <c r="F68" s="5">
        <v>0</v>
      </c>
      <c r="G68" s="5">
        <v>0</v>
      </c>
      <c r="H68" s="5">
        <v>0</v>
      </c>
      <c r="I68" s="5">
        <v>0</v>
      </c>
      <c r="J68" s="5">
        <v>0</v>
      </c>
      <c r="K68" s="7">
        <v>4.5</v>
      </c>
      <c r="L68" s="7">
        <v>4.5</v>
      </c>
      <c r="M68" s="7">
        <v>4.5</v>
      </c>
      <c r="N68" s="21">
        <v>4.5</v>
      </c>
      <c r="O68" s="21">
        <v>4.5</v>
      </c>
      <c r="P68" s="21">
        <v>4.5</v>
      </c>
      <c r="Q68" s="21">
        <v>4.5</v>
      </c>
      <c r="R68" s="21">
        <v>9</v>
      </c>
      <c r="S68" s="21">
        <v>9</v>
      </c>
      <c r="T68" s="50"/>
      <c r="V68"/>
    </row>
    <row r="69" spans="1:22">
      <c r="A69" s="3" t="s">
        <v>746</v>
      </c>
      <c r="B69" s="3" t="s">
        <v>59</v>
      </c>
      <c r="C69" s="156">
        <v>318.2</v>
      </c>
      <c r="D69" s="156">
        <v>318.2</v>
      </c>
      <c r="E69" s="21">
        <v>316.7</v>
      </c>
      <c r="F69">
        <v>331.9</v>
      </c>
      <c r="G69">
        <v>331.8</v>
      </c>
      <c r="H69">
        <v>324</v>
      </c>
      <c r="I69">
        <v>325</v>
      </c>
      <c r="J69">
        <v>325</v>
      </c>
      <c r="K69" s="7">
        <v>326.39999999999998</v>
      </c>
      <c r="L69" s="7">
        <v>320.60000000000002</v>
      </c>
      <c r="M69" s="7">
        <v>322.5</v>
      </c>
      <c r="N69" s="21">
        <v>327.39999999999998</v>
      </c>
      <c r="O69" s="21">
        <v>326</v>
      </c>
      <c r="P69" s="21">
        <v>317.7</v>
      </c>
      <c r="Q69" s="21">
        <v>324.10000000000002</v>
      </c>
      <c r="R69" s="21">
        <v>331.4</v>
      </c>
      <c r="S69" s="21">
        <v>357.3</v>
      </c>
      <c r="T69" s="50"/>
      <c r="V69"/>
    </row>
    <row r="70" spans="1:22">
      <c r="A70" s="3" t="s">
        <v>747</v>
      </c>
      <c r="B70" s="3" t="s">
        <v>60</v>
      </c>
      <c r="C70" s="156">
        <v>5</v>
      </c>
      <c r="D70" s="156">
        <v>5</v>
      </c>
      <c r="E70" s="21">
        <v>5</v>
      </c>
      <c r="F70">
        <v>5</v>
      </c>
      <c r="G70">
        <v>5</v>
      </c>
      <c r="H70">
        <v>5.5</v>
      </c>
      <c r="I70">
        <v>9</v>
      </c>
      <c r="J70">
        <v>9</v>
      </c>
      <c r="K70" s="7">
        <v>9</v>
      </c>
      <c r="L70" s="7">
        <v>9</v>
      </c>
      <c r="M70" s="7">
        <v>9</v>
      </c>
      <c r="N70" s="21">
        <v>9</v>
      </c>
      <c r="O70" s="21">
        <v>10</v>
      </c>
      <c r="P70" s="21">
        <v>10</v>
      </c>
      <c r="Q70" s="21">
        <v>10</v>
      </c>
      <c r="R70" s="21">
        <v>10</v>
      </c>
      <c r="S70" s="21">
        <v>10</v>
      </c>
      <c r="T70" s="50"/>
      <c r="V70"/>
    </row>
    <row r="71" spans="1:22">
      <c r="A71" s="3" t="s">
        <v>748</v>
      </c>
      <c r="B71" s="3" t="s">
        <v>61</v>
      </c>
      <c r="C71" s="156">
        <v>229.1</v>
      </c>
      <c r="D71" s="156">
        <v>229.1</v>
      </c>
      <c r="E71" s="131">
        <v>221.1</v>
      </c>
      <c r="F71" s="131">
        <v>224.3</v>
      </c>
      <c r="G71" s="131">
        <v>226.3</v>
      </c>
      <c r="H71">
        <v>204.2</v>
      </c>
      <c r="I71">
        <v>195</v>
      </c>
      <c r="J71">
        <v>222.4</v>
      </c>
      <c r="K71" s="7">
        <v>278.39999999999998</v>
      </c>
      <c r="L71" s="7">
        <v>309.39999999999998</v>
      </c>
      <c r="M71" s="7">
        <v>288.39999999999998</v>
      </c>
      <c r="N71" s="21">
        <v>279.89999999999998</v>
      </c>
      <c r="O71" s="21">
        <v>233.9</v>
      </c>
      <c r="P71" s="21">
        <v>173.6</v>
      </c>
      <c r="Q71" s="21">
        <v>167.3</v>
      </c>
      <c r="R71" s="21">
        <v>153.9</v>
      </c>
      <c r="S71" s="21">
        <v>144.69999999999999</v>
      </c>
      <c r="T71" s="50"/>
      <c r="V71"/>
    </row>
    <row r="72" spans="1:22">
      <c r="A72" s="3" t="s">
        <v>749</v>
      </c>
      <c r="B72" s="3" t="s">
        <v>62</v>
      </c>
      <c r="C72" s="158">
        <v>342</v>
      </c>
      <c r="D72" s="158">
        <v>342</v>
      </c>
      <c r="E72" s="129">
        <v>333</v>
      </c>
      <c r="F72" s="129">
        <v>329</v>
      </c>
      <c r="G72" s="129">
        <v>328</v>
      </c>
      <c r="H72">
        <v>322</v>
      </c>
      <c r="I72">
        <v>318</v>
      </c>
      <c r="J72">
        <v>324</v>
      </c>
      <c r="K72" s="7">
        <v>335.5</v>
      </c>
      <c r="L72" s="10">
        <v>338</v>
      </c>
      <c r="M72" s="10">
        <v>335</v>
      </c>
      <c r="N72" s="21">
        <v>338</v>
      </c>
      <c r="O72" s="21">
        <v>337</v>
      </c>
      <c r="P72" s="21">
        <v>338</v>
      </c>
      <c r="Q72" s="21">
        <v>332.5</v>
      </c>
      <c r="R72" s="21">
        <v>322.5</v>
      </c>
      <c r="S72" s="21">
        <v>312.5</v>
      </c>
      <c r="T72" s="50"/>
      <c r="V72"/>
    </row>
    <row r="73" spans="1:22">
      <c r="A73" s="3" t="s">
        <v>750</v>
      </c>
      <c r="B73" s="3" t="s">
        <v>63</v>
      </c>
      <c r="C73" s="156">
        <v>221.5</v>
      </c>
      <c r="D73" s="156">
        <v>221.5</v>
      </c>
      <c r="E73" s="129">
        <v>222</v>
      </c>
      <c r="F73" s="129">
        <v>220</v>
      </c>
      <c r="G73" s="129">
        <v>218</v>
      </c>
      <c r="H73">
        <v>210.5</v>
      </c>
      <c r="I73">
        <v>207.5</v>
      </c>
      <c r="J73">
        <v>205.5</v>
      </c>
      <c r="K73" s="7">
        <v>196.5</v>
      </c>
      <c r="L73" s="10">
        <v>194</v>
      </c>
      <c r="M73" s="10">
        <v>193</v>
      </c>
      <c r="N73" s="21">
        <v>194</v>
      </c>
      <c r="O73" s="21">
        <v>196</v>
      </c>
      <c r="P73" s="21">
        <v>199.5</v>
      </c>
      <c r="Q73" s="21">
        <v>199.5</v>
      </c>
      <c r="R73" s="21">
        <v>200</v>
      </c>
      <c r="S73" s="21">
        <v>197.5</v>
      </c>
      <c r="T73" s="50"/>
      <c r="V73"/>
    </row>
    <row r="74" spans="1:22">
      <c r="A74" s="3" t="s">
        <v>751</v>
      </c>
      <c r="B74" s="3" t="s">
        <v>8</v>
      </c>
      <c r="C74" s="158">
        <v>242</v>
      </c>
      <c r="D74" s="158">
        <v>242</v>
      </c>
      <c r="E74" s="129">
        <v>241</v>
      </c>
      <c r="F74" s="129">
        <v>238</v>
      </c>
      <c r="G74" s="129">
        <v>237</v>
      </c>
      <c r="H74">
        <v>238</v>
      </c>
      <c r="I74">
        <v>236</v>
      </c>
      <c r="J74">
        <v>239</v>
      </c>
      <c r="K74" s="7">
        <v>237.5</v>
      </c>
      <c r="L74" s="7">
        <v>233.5</v>
      </c>
      <c r="M74" s="7">
        <v>232.5</v>
      </c>
      <c r="N74" s="21">
        <v>233.5</v>
      </c>
      <c r="O74" s="21">
        <v>234.5</v>
      </c>
      <c r="P74" s="21">
        <v>232.5</v>
      </c>
      <c r="Q74" s="21">
        <v>236.5</v>
      </c>
      <c r="R74" s="21">
        <v>225.5</v>
      </c>
      <c r="S74" s="21">
        <v>227.5</v>
      </c>
      <c r="T74" s="50"/>
      <c r="V74"/>
    </row>
    <row r="75" spans="1:22">
      <c r="A75" s="3" t="s">
        <v>752</v>
      </c>
      <c r="B75" s="3" t="s">
        <v>64</v>
      </c>
      <c r="C75" s="156">
        <v>14.5</v>
      </c>
      <c r="D75" s="156">
        <v>14.5</v>
      </c>
      <c r="E75" s="131">
        <v>14.5</v>
      </c>
      <c r="F75" s="131">
        <v>14.5</v>
      </c>
      <c r="G75" s="131">
        <v>14.5</v>
      </c>
      <c r="H75">
        <v>14.5</v>
      </c>
      <c r="I75">
        <v>14.5</v>
      </c>
      <c r="J75">
        <v>14.5</v>
      </c>
      <c r="K75" s="7">
        <v>15.5</v>
      </c>
      <c r="L75" s="7">
        <v>15.5</v>
      </c>
      <c r="M75" s="7">
        <v>15.5</v>
      </c>
      <c r="N75" s="21">
        <v>15.5</v>
      </c>
      <c r="O75" s="21">
        <v>15.5</v>
      </c>
      <c r="P75" s="21">
        <v>15.5</v>
      </c>
      <c r="Q75" s="21">
        <v>15.5</v>
      </c>
      <c r="R75" s="21">
        <v>15</v>
      </c>
      <c r="S75" s="21">
        <v>13.5</v>
      </c>
      <c r="T75" s="50"/>
      <c r="V75"/>
    </row>
    <row r="76" spans="1:22">
      <c r="A76" s="3"/>
      <c r="B76" s="3" t="s">
        <v>653</v>
      </c>
      <c r="C76" s="21"/>
      <c r="D76" s="21"/>
      <c r="E76" s="50"/>
      <c r="F76"/>
      <c r="G76"/>
      <c r="H76"/>
      <c r="I76"/>
      <c r="J76"/>
      <c r="K76" s="7"/>
      <c r="L76" s="7"/>
      <c r="M76" s="7"/>
      <c r="N76" s="21">
        <v>0</v>
      </c>
      <c r="O76" s="21">
        <v>0</v>
      </c>
      <c r="P76" s="21">
        <v>0</v>
      </c>
      <c r="Q76" s="21">
        <v>0</v>
      </c>
      <c r="R76" s="21">
        <v>5</v>
      </c>
      <c r="S76" s="21">
        <v>4</v>
      </c>
      <c r="T76" s="50"/>
      <c r="V76"/>
    </row>
    <row r="77" spans="1:22">
      <c r="A77" s="3" t="s">
        <v>753</v>
      </c>
      <c r="B77" s="3" t="s">
        <v>65</v>
      </c>
      <c r="C77" s="156">
        <v>355.5</v>
      </c>
      <c r="D77" s="158">
        <v>230</v>
      </c>
      <c r="E77" s="129">
        <v>190</v>
      </c>
      <c r="F77" s="131">
        <v>142.69999999999999</v>
      </c>
      <c r="G77" s="130">
        <v>93</v>
      </c>
      <c r="H77">
        <v>183.1</v>
      </c>
      <c r="I77">
        <v>175.1</v>
      </c>
      <c r="J77">
        <v>117.6</v>
      </c>
      <c r="K77" s="7">
        <v>168.5</v>
      </c>
      <c r="L77" s="7">
        <v>184.5</v>
      </c>
      <c r="M77" s="10">
        <v>150</v>
      </c>
      <c r="N77" s="21">
        <v>146.9</v>
      </c>
      <c r="O77" s="21">
        <v>106.3</v>
      </c>
      <c r="P77" s="21">
        <v>31.2</v>
      </c>
      <c r="Q77" s="21">
        <v>75</v>
      </c>
      <c r="R77" s="21">
        <v>145</v>
      </c>
      <c r="S77" s="21">
        <v>173.8</v>
      </c>
      <c r="T77" s="50"/>
      <c r="V77"/>
    </row>
    <row r="78" spans="1:22">
      <c r="A78" s="3" t="s">
        <v>754</v>
      </c>
      <c r="B78" s="3" t="s">
        <v>66</v>
      </c>
      <c r="C78" s="157">
        <v>87</v>
      </c>
      <c r="D78" s="157">
        <v>87</v>
      </c>
      <c r="E78" s="130">
        <v>89</v>
      </c>
      <c r="F78" s="130">
        <v>91</v>
      </c>
      <c r="G78" s="130">
        <v>90</v>
      </c>
      <c r="H78">
        <v>90</v>
      </c>
      <c r="I78">
        <v>90</v>
      </c>
      <c r="J78">
        <v>92</v>
      </c>
      <c r="K78" s="8">
        <v>98</v>
      </c>
      <c r="L78" s="8">
        <v>98</v>
      </c>
      <c r="M78" s="8">
        <v>98</v>
      </c>
      <c r="N78" s="21">
        <v>96</v>
      </c>
      <c r="O78" s="21">
        <v>96</v>
      </c>
      <c r="P78" s="21">
        <v>95</v>
      </c>
      <c r="Q78" s="21">
        <v>90</v>
      </c>
      <c r="R78" s="21">
        <v>89</v>
      </c>
      <c r="S78" s="21">
        <v>85</v>
      </c>
      <c r="T78" s="50"/>
      <c r="V78"/>
    </row>
    <row r="79" spans="1:22">
      <c r="A79" s="3" t="s">
        <v>755</v>
      </c>
      <c r="B79" s="3" t="s">
        <v>67</v>
      </c>
      <c r="C79" s="156">
        <v>65.5</v>
      </c>
      <c r="D79" s="156">
        <v>65.5</v>
      </c>
      <c r="E79" s="131">
        <v>66.5</v>
      </c>
      <c r="F79" s="131">
        <v>66.5</v>
      </c>
      <c r="G79" s="130">
        <v>68</v>
      </c>
      <c r="H79">
        <v>67.5</v>
      </c>
      <c r="I79">
        <v>67</v>
      </c>
      <c r="J79">
        <v>67</v>
      </c>
      <c r="K79" s="7">
        <v>64.7</v>
      </c>
      <c r="L79" s="8">
        <v>66</v>
      </c>
      <c r="M79" s="7">
        <v>63.7</v>
      </c>
      <c r="N79" s="21">
        <v>57.7</v>
      </c>
      <c r="O79" s="21">
        <v>56.2</v>
      </c>
      <c r="P79" s="21">
        <v>56.1</v>
      </c>
      <c r="Q79" s="21">
        <v>54.2</v>
      </c>
      <c r="R79" s="21">
        <v>59.8</v>
      </c>
      <c r="S79" s="21">
        <v>50.8</v>
      </c>
      <c r="T79" s="50"/>
      <c r="V79"/>
    </row>
    <row r="80" spans="1:22">
      <c r="A80" s="3" t="s">
        <v>756</v>
      </c>
      <c r="B80" s="3" t="s">
        <v>68</v>
      </c>
      <c r="C80" s="156">
        <v>170.8</v>
      </c>
      <c r="D80" s="156">
        <v>171.8</v>
      </c>
      <c r="E80" s="131">
        <v>191.8</v>
      </c>
      <c r="F80" s="131">
        <v>196.5</v>
      </c>
      <c r="G80" s="131">
        <v>185.7</v>
      </c>
      <c r="H80">
        <v>192.7</v>
      </c>
      <c r="I80">
        <v>190.8</v>
      </c>
      <c r="J80">
        <v>207.8</v>
      </c>
      <c r="K80" s="7">
        <v>209.3</v>
      </c>
      <c r="L80" s="7">
        <v>222.4</v>
      </c>
      <c r="M80" s="7">
        <v>222.7</v>
      </c>
      <c r="N80" s="21">
        <v>212.3</v>
      </c>
      <c r="O80" s="21">
        <v>220.1</v>
      </c>
      <c r="P80" s="21">
        <v>217.2</v>
      </c>
      <c r="Q80" s="21">
        <v>206.1</v>
      </c>
      <c r="R80" s="21">
        <v>202.7</v>
      </c>
      <c r="S80" s="21">
        <v>189.7</v>
      </c>
      <c r="T80" s="50"/>
      <c r="V80"/>
    </row>
    <row r="81" spans="1:22">
      <c r="A81" s="3" t="s">
        <v>757</v>
      </c>
      <c r="B81" s="3" t="s">
        <v>69</v>
      </c>
      <c r="C81" s="156">
        <v>100.5</v>
      </c>
      <c r="D81" s="156">
        <v>100.5</v>
      </c>
      <c r="E81" s="130">
        <v>91</v>
      </c>
      <c r="F81" s="131">
        <v>88.5</v>
      </c>
      <c r="G81" s="131">
        <v>87.5</v>
      </c>
      <c r="H81">
        <v>89</v>
      </c>
      <c r="I81">
        <v>88.5</v>
      </c>
      <c r="J81">
        <v>84.5</v>
      </c>
      <c r="K81" s="8">
        <v>82</v>
      </c>
      <c r="L81" s="8">
        <v>78</v>
      </c>
      <c r="M81" s="7">
        <v>73.5</v>
      </c>
      <c r="N81" s="21">
        <v>75</v>
      </c>
      <c r="O81" s="21">
        <v>74</v>
      </c>
      <c r="P81" s="21">
        <v>430</v>
      </c>
      <c r="Q81" s="21">
        <v>372.2</v>
      </c>
      <c r="R81" s="21">
        <v>336.5</v>
      </c>
      <c r="S81" s="21">
        <v>308.10000000000002</v>
      </c>
      <c r="T81" s="50"/>
      <c r="V81"/>
    </row>
    <row r="82" spans="1:22">
      <c r="A82" s="3" t="s">
        <v>758</v>
      </c>
      <c r="B82" s="3" t="s">
        <v>70</v>
      </c>
      <c r="C82" s="156">
        <v>4</v>
      </c>
      <c r="D82" s="156">
        <v>4</v>
      </c>
      <c r="E82" s="131">
        <v>4</v>
      </c>
      <c r="F82" s="131">
        <v>4</v>
      </c>
      <c r="G82" s="131">
        <v>4</v>
      </c>
      <c r="H82">
        <v>4</v>
      </c>
      <c r="I82">
        <v>6.5</v>
      </c>
      <c r="J82">
        <v>6.5</v>
      </c>
      <c r="K82" s="7">
        <v>6.5</v>
      </c>
      <c r="L82" s="7">
        <v>6.5</v>
      </c>
      <c r="M82" s="7">
        <v>6.5</v>
      </c>
      <c r="N82" s="21">
        <v>6.5</v>
      </c>
      <c r="O82" s="21">
        <v>6.5</v>
      </c>
      <c r="P82" s="21">
        <v>6.2</v>
      </c>
      <c r="Q82" s="21">
        <v>5.5</v>
      </c>
      <c r="R82" s="21">
        <v>5.5</v>
      </c>
      <c r="S82" s="21">
        <v>5.5</v>
      </c>
      <c r="T82" s="50"/>
      <c r="V82"/>
    </row>
    <row r="83" spans="1:22">
      <c r="A83" s="3" t="s">
        <v>759</v>
      </c>
      <c r="B83" s="3" t="s">
        <v>71</v>
      </c>
      <c r="C83" s="157">
        <v>15</v>
      </c>
      <c r="D83" s="157">
        <v>15</v>
      </c>
      <c r="E83" s="130">
        <v>15</v>
      </c>
      <c r="F83" s="130">
        <v>15</v>
      </c>
      <c r="G83" s="130">
        <v>15</v>
      </c>
      <c r="H83">
        <v>16</v>
      </c>
      <c r="I83">
        <v>16</v>
      </c>
      <c r="J83">
        <v>16</v>
      </c>
      <c r="K83" s="11">
        <v>16</v>
      </c>
      <c r="L83" s="11">
        <v>16</v>
      </c>
      <c r="M83" s="11">
        <v>16</v>
      </c>
      <c r="N83" s="21">
        <v>15</v>
      </c>
      <c r="O83" s="21">
        <v>15</v>
      </c>
      <c r="P83" s="21">
        <v>15</v>
      </c>
      <c r="Q83" s="21">
        <v>15</v>
      </c>
      <c r="R83" s="21">
        <v>15</v>
      </c>
      <c r="S83" s="21">
        <v>15</v>
      </c>
      <c r="T83" s="50"/>
      <c r="V83"/>
    </row>
    <row r="84" spans="1:22">
      <c r="A84" s="3" t="s">
        <v>760</v>
      </c>
      <c r="B84" s="27" t="s">
        <v>79</v>
      </c>
      <c r="C84" s="63">
        <f t="shared" ref="C84:D84" si="27">SUBTOTAL(9,C85:C90)</f>
        <v>2626</v>
      </c>
      <c r="D84" s="63">
        <f t="shared" si="27"/>
        <v>2611.1</v>
      </c>
      <c r="E84" s="63">
        <f t="shared" ref="E84:F84" si="28">SUBTOTAL(9,E85:E90)</f>
        <v>2560.5</v>
      </c>
      <c r="F84" s="63">
        <f t="shared" si="28"/>
        <v>2618.4</v>
      </c>
      <c r="G84" s="63">
        <f t="shared" ref="G84" si="29">SUBTOTAL(9,G85:G90)</f>
        <v>2585</v>
      </c>
      <c r="H84" s="63">
        <f t="shared" ref="H84" si="30">SUBTOTAL(9,H85:H90)</f>
        <v>2452</v>
      </c>
      <c r="I84" s="63">
        <f t="shared" ref="I84" si="31">SUBTOTAL(9,I85:I90)</f>
        <v>2338.1999999999998</v>
      </c>
      <c r="J84" s="63">
        <f t="shared" ref="J84" si="32">SUBTOTAL(9,J85:J90)</f>
        <v>2255.9</v>
      </c>
      <c r="K84" s="63">
        <f>SUBTOTAL(9,K85:K90)</f>
        <v>2157.1</v>
      </c>
      <c r="L84" s="23">
        <f>SUBTOTAL(9,L85:L90)</f>
        <v>2177.3000000000002</v>
      </c>
      <c r="M84" s="23">
        <f t="shared" ref="M84" si="33">SUBTOTAL(9,M85:M90)</f>
        <v>2085.5</v>
      </c>
      <c r="N84" s="23">
        <f t="shared" ref="N84:S84" si="34">SUBTOTAL(9,N85:N90)</f>
        <v>2053.3000000000002</v>
      </c>
      <c r="O84" s="23">
        <f t="shared" si="34"/>
        <v>2030.5</v>
      </c>
      <c r="P84" s="23">
        <f t="shared" si="34"/>
        <v>1851.8999999999999</v>
      </c>
      <c r="Q84" s="23">
        <f t="shared" si="34"/>
        <v>1810</v>
      </c>
      <c r="R84" s="23">
        <f t="shared" si="34"/>
        <v>1807.2</v>
      </c>
      <c r="S84" s="23">
        <f t="shared" si="34"/>
        <v>1794</v>
      </c>
      <c r="T84" s="50"/>
      <c r="V84"/>
    </row>
    <row r="85" spans="1:22">
      <c r="A85" s="3" t="s">
        <v>761</v>
      </c>
      <c r="B85" s="3" t="s">
        <v>73</v>
      </c>
      <c r="C85" s="158">
        <v>534</v>
      </c>
      <c r="D85" s="158">
        <v>589</v>
      </c>
      <c r="E85" s="135">
        <v>574</v>
      </c>
      <c r="F85" s="135">
        <v>619</v>
      </c>
      <c r="G85" s="135">
        <v>597</v>
      </c>
      <c r="H85">
        <v>544</v>
      </c>
      <c r="I85">
        <v>472</v>
      </c>
      <c r="J85">
        <v>475.5</v>
      </c>
      <c r="K85" s="7">
        <v>454.5</v>
      </c>
      <c r="L85" s="7">
        <v>429.5</v>
      </c>
      <c r="M85" s="7">
        <v>394.5</v>
      </c>
      <c r="N85" s="21">
        <v>378.5</v>
      </c>
      <c r="O85" s="21">
        <v>373</v>
      </c>
      <c r="P85" s="21">
        <v>347</v>
      </c>
      <c r="Q85" s="21">
        <v>291</v>
      </c>
      <c r="R85" s="21">
        <v>284</v>
      </c>
      <c r="S85" s="21">
        <v>291.5</v>
      </c>
      <c r="T85" s="50"/>
      <c r="V85"/>
    </row>
    <row r="86" spans="1:22">
      <c r="A86" s="3" t="s">
        <v>762</v>
      </c>
      <c r="B86" s="3" t="s">
        <v>74</v>
      </c>
      <c r="C86" s="158">
        <v>269</v>
      </c>
      <c r="D86" s="156">
        <v>270.10000000000002</v>
      </c>
      <c r="E86" s="131">
        <v>278.5</v>
      </c>
      <c r="F86" s="131">
        <v>327.39999999999998</v>
      </c>
      <c r="G86" s="131">
        <v>322.5</v>
      </c>
      <c r="H86">
        <v>321</v>
      </c>
      <c r="I86">
        <v>311.2</v>
      </c>
      <c r="J86">
        <v>294.89999999999998</v>
      </c>
      <c r="K86" s="7">
        <v>291.60000000000002</v>
      </c>
      <c r="L86" s="7">
        <v>346.8</v>
      </c>
      <c r="M86" s="10">
        <v>348</v>
      </c>
      <c r="N86" s="21">
        <v>354.8</v>
      </c>
      <c r="O86" s="21">
        <v>353.5</v>
      </c>
      <c r="P86" s="21">
        <v>350.6</v>
      </c>
      <c r="Q86" s="21">
        <v>368</v>
      </c>
      <c r="R86" s="21">
        <v>356.2</v>
      </c>
      <c r="S86" s="21">
        <v>364.5</v>
      </c>
      <c r="T86" s="50"/>
      <c r="V86"/>
    </row>
    <row r="87" spans="1:22">
      <c r="A87" s="3" t="s">
        <v>763</v>
      </c>
      <c r="B87" s="3" t="s">
        <v>75</v>
      </c>
      <c r="C87" s="160">
        <v>1715</v>
      </c>
      <c r="D87" s="160">
        <v>1684</v>
      </c>
      <c r="E87" s="133">
        <v>1640</v>
      </c>
      <c r="F87" s="133">
        <v>1589</v>
      </c>
      <c r="G87" s="133">
        <v>1567</v>
      </c>
      <c r="H87">
        <v>1506</v>
      </c>
      <c r="I87">
        <v>1490</v>
      </c>
      <c r="J87">
        <v>1427</v>
      </c>
      <c r="K87" s="15">
        <v>1336</v>
      </c>
      <c r="L87" s="15">
        <v>1319</v>
      </c>
      <c r="M87" s="15">
        <v>1268</v>
      </c>
      <c r="N87" s="21">
        <v>1251</v>
      </c>
      <c r="O87" s="21">
        <v>1233</v>
      </c>
      <c r="P87" s="21">
        <v>1106</v>
      </c>
      <c r="Q87" s="21">
        <v>1049</v>
      </c>
      <c r="R87" s="21">
        <v>1058</v>
      </c>
      <c r="S87" s="21">
        <v>982</v>
      </c>
      <c r="T87" s="50"/>
      <c r="V87"/>
    </row>
    <row r="88" spans="1:22">
      <c r="A88" s="3" t="s">
        <v>764</v>
      </c>
      <c r="B88" s="3" t="s">
        <v>76</v>
      </c>
      <c r="C88" s="157">
        <v>11</v>
      </c>
      <c r="D88" s="157">
        <v>11</v>
      </c>
      <c r="E88" s="130">
        <v>11</v>
      </c>
      <c r="F88" s="130">
        <v>11</v>
      </c>
      <c r="G88" s="130">
        <v>11</v>
      </c>
      <c r="H88">
        <v>11</v>
      </c>
      <c r="I88">
        <v>11</v>
      </c>
      <c r="J88">
        <v>11</v>
      </c>
      <c r="K88" s="8">
        <v>15</v>
      </c>
      <c r="L88" s="8">
        <v>12</v>
      </c>
      <c r="M88" s="7">
        <v>6</v>
      </c>
      <c r="N88" s="21">
        <v>0</v>
      </c>
      <c r="O88" s="21">
        <v>0</v>
      </c>
      <c r="P88" s="21">
        <v>0</v>
      </c>
      <c r="Q88" s="21"/>
      <c r="R88" s="21"/>
      <c r="S88" s="21"/>
      <c r="T88" s="50"/>
      <c r="V88"/>
    </row>
    <row r="89" spans="1:22">
      <c r="A89" s="3" t="s">
        <v>765</v>
      </c>
      <c r="B89" s="3" t="s">
        <v>77</v>
      </c>
      <c r="C89" s="157">
        <v>14</v>
      </c>
      <c r="D89" s="157">
        <v>14</v>
      </c>
      <c r="E89" s="130">
        <v>14</v>
      </c>
      <c r="F89" s="130">
        <v>14</v>
      </c>
      <c r="G89" s="130">
        <v>13</v>
      </c>
      <c r="H89">
        <v>13</v>
      </c>
      <c r="I89">
        <v>12</v>
      </c>
      <c r="J89">
        <v>16</v>
      </c>
      <c r="K89" s="8">
        <v>18</v>
      </c>
      <c r="L89" s="8">
        <v>38</v>
      </c>
      <c r="M89" s="8">
        <v>38</v>
      </c>
      <c r="N89" s="21">
        <v>38</v>
      </c>
      <c r="O89" s="21">
        <v>38</v>
      </c>
      <c r="P89" s="21">
        <v>38</v>
      </c>
      <c r="Q89" s="21">
        <v>83</v>
      </c>
      <c r="R89" s="21">
        <v>84</v>
      </c>
      <c r="S89" s="21">
        <v>131</v>
      </c>
      <c r="T89" s="50"/>
      <c r="V89"/>
    </row>
    <row r="90" spans="1:22">
      <c r="A90" s="3" t="s">
        <v>766</v>
      </c>
      <c r="B90" s="3" t="s">
        <v>78</v>
      </c>
      <c r="C90" s="157">
        <v>83</v>
      </c>
      <c r="D90" s="157">
        <v>43</v>
      </c>
      <c r="E90" s="130">
        <v>43</v>
      </c>
      <c r="F90" s="130">
        <v>58</v>
      </c>
      <c r="G90" s="131">
        <v>74.5</v>
      </c>
      <c r="H90">
        <v>57</v>
      </c>
      <c r="I90">
        <v>42</v>
      </c>
      <c r="J90">
        <v>31.5</v>
      </c>
      <c r="K90" s="11">
        <v>42</v>
      </c>
      <c r="L90" s="11">
        <v>32</v>
      </c>
      <c r="M90" s="11">
        <v>31</v>
      </c>
      <c r="N90" s="21">
        <v>31</v>
      </c>
      <c r="O90" s="21">
        <v>33</v>
      </c>
      <c r="P90" s="21">
        <v>10.3</v>
      </c>
      <c r="Q90" s="21">
        <v>19</v>
      </c>
      <c r="R90" s="21">
        <v>25</v>
      </c>
      <c r="S90" s="21">
        <v>25</v>
      </c>
      <c r="T90" s="50"/>
      <c r="V90"/>
    </row>
    <row r="91" spans="1:22">
      <c r="A91" s="3" t="s">
        <v>767</v>
      </c>
      <c r="B91" s="27" t="s">
        <v>82</v>
      </c>
      <c r="C91" s="63">
        <f t="shared" ref="C91:D91" si="35">SUBTOTAL(9,C92:C93)</f>
        <v>428</v>
      </c>
      <c r="D91" s="63">
        <f t="shared" si="35"/>
        <v>405</v>
      </c>
      <c r="E91" s="63">
        <f t="shared" ref="E91:L91" si="36">SUBTOTAL(9,E92:E93)</f>
        <v>401</v>
      </c>
      <c r="F91" s="63">
        <f t="shared" si="36"/>
        <v>438.5</v>
      </c>
      <c r="G91" s="63">
        <f t="shared" si="36"/>
        <v>416</v>
      </c>
      <c r="H91" s="63">
        <f t="shared" si="36"/>
        <v>403.5</v>
      </c>
      <c r="I91" s="63">
        <f t="shared" si="36"/>
        <v>391.5</v>
      </c>
      <c r="J91" s="63">
        <f t="shared" si="36"/>
        <v>423.5</v>
      </c>
      <c r="K91" s="63">
        <f t="shared" si="36"/>
        <v>422</v>
      </c>
      <c r="L91" s="23">
        <f t="shared" si="36"/>
        <v>413.5</v>
      </c>
      <c r="M91" s="23">
        <f t="shared" ref="M91" si="37">SUBTOTAL(9,M92:M93)</f>
        <v>393</v>
      </c>
      <c r="N91" s="23">
        <f t="shared" ref="N91:S91" si="38">SUBTOTAL(9,N92:N93)</f>
        <v>391</v>
      </c>
      <c r="O91" s="23">
        <f t="shared" si="38"/>
        <v>366</v>
      </c>
      <c r="P91" s="23">
        <f t="shared" si="38"/>
        <v>373</v>
      </c>
      <c r="Q91" s="23">
        <f t="shared" si="38"/>
        <v>344</v>
      </c>
      <c r="R91" s="23">
        <f t="shared" si="38"/>
        <v>333</v>
      </c>
      <c r="S91" s="23">
        <f t="shared" si="38"/>
        <v>293</v>
      </c>
      <c r="T91" s="50"/>
      <c r="V91"/>
    </row>
    <row r="92" spans="1:22">
      <c r="A92" s="3" t="s">
        <v>768</v>
      </c>
      <c r="B92" s="3" t="s">
        <v>80</v>
      </c>
      <c r="C92" s="158">
        <v>277</v>
      </c>
      <c r="D92" s="158">
        <v>260</v>
      </c>
      <c r="E92" s="135">
        <v>255</v>
      </c>
      <c r="F92" s="136">
        <v>289.5</v>
      </c>
      <c r="G92" s="135">
        <v>275</v>
      </c>
      <c r="H92">
        <v>266.5</v>
      </c>
      <c r="I92">
        <v>250.5</v>
      </c>
      <c r="J92">
        <v>289.5</v>
      </c>
      <c r="K92" s="10">
        <v>289</v>
      </c>
      <c r="L92" s="7">
        <v>275.5</v>
      </c>
      <c r="M92" s="10">
        <v>268</v>
      </c>
      <c r="N92" s="21">
        <v>264</v>
      </c>
      <c r="O92" s="21">
        <v>256</v>
      </c>
      <c r="P92" s="21">
        <v>255</v>
      </c>
      <c r="Q92" s="21">
        <v>247</v>
      </c>
      <c r="R92" s="21">
        <v>230</v>
      </c>
      <c r="S92" s="21">
        <v>191</v>
      </c>
      <c r="T92" s="50"/>
      <c r="V92"/>
    </row>
    <row r="93" spans="1:22">
      <c r="A93" s="3" t="s">
        <v>769</v>
      </c>
      <c r="B93" s="3" t="s">
        <v>81</v>
      </c>
      <c r="C93" s="158">
        <v>151</v>
      </c>
      <c r="D93" s="158">
        <v>145</v>
      </c>
      <c r="E93" s="129">
        <v>146</v>
      </c>
      <c r="F93" s="129">
        <v>149</v>
      </c>
      <c r="G93" s="129">
        <v>141</v>
      </c>
      <c r="H93">
        <v>137</v>
      </c>
      <c r="I93">
        <v>141</v>
      </c>
      <c r="J93">
        <v>134</v>
      </c>
      <c r="K93" s="13">
        <v>133</v>
      </c>
      <c r="L93" s="13">
        <v>138</v>
      </c>
      <c r="M93" s="13">
        <v>125</v>
      </c>
      <c r="N93" s="21">
        <v>127</v>
      </c>
      <c r="O93" s="21">
        <v>110</v>
      </c>
      <c r="P93" s="21">
        <v>118</v>
      </c>
      <c r="Q93" s="21">
        <v>97</v>
      </c>
      <c r="R93" s="21">
        <v>103</v>
      </c>
      <c r="S93" s="21">
        <v>102</v>
      </c>
      <c r="T93" s="50"/>
      <c r="V93"/>
    </row>
    <row r="94" spans="1:22">
      <c r="A94" s="3" t="s">
        <v>770</v>
      </c>
      <c r="B94" s="27" t="s">
        <v>89</v>
      </c>
      <c r="C94" s="63">
        <f t="shared" ref="C94:D94" si="39">SUBTOTAL(9,C95:C100)</f>
        <v>1224.0999999999999</v>
      </c>
      <c r="D94" s="63">
        <f t="shared" si="39"/>
        <v>1237.0999999999999</v>
      </c>
      <c r="E94" s="63">
        <f t="shared" ref="E94:L94" si="40">SUBTOTAL(9,E95:E100)</f>
        <v>1228.5999999999999</v>
      </c>
      <c r="F94" s="63">
        <f t="shared" si="40"/>
        <v>1290.0999999999999</v>
      </c>
      <c r="G94" s="63">
        <f t="shared" si="40"/>
        <v>1309.5999999999999</v>
      </c>
      <c r="H94" s="63">
        <f t="shared" si="40"/>
        <v>1271.0999999999999</v>
      </c>
      <c r="I94" s="63">
        <f t="shared" si="40"/>
        <v>1253.5999999999999</v>
      </c>
      <c r="J94" s="63">
        <f t="shared" si="40"/>
        <v>1282.5999999999999</v>
      </c>
      <c r="K94" s="63">
        <f t="shared" si="40"/>
        <v>1445.1</v>
      </c>
      <c r="L94" s="23">
        <f t="shared" si="40"/>
        <v>1440.1</v>
      </c>
      <c r="M94" s="23">
        <f t="shared" ref="M94" si="41">SUBTOTAL(9,M95:M100)</f>
        <v>1438.1999999999998</v>
      </c>
      <c r="N94" s="23">
        <f t="shared" ref="N94:S94" si="42">SUBTOTAL(9,N95:N100)</f>
        <v>1434.8</v>
      </c>
      <c r="O94" s="23">
        <f t="shared" si="42"/>
        <v>1415.5</v>
      </c>
      <c r="P94" s="23">
        <f t="shared" si="42"/>
        <v>1409</v>
      </c>
      <c r="Q94" s="23">
        <f t="shared" si="42"/>
        <v>1413.4</v>
      </c>
      <c r="R94" s="23">
        <f t="shared" si="42"/>
        <v>1416.8</v>
      </c>
      <c r="S94" s="23">
        <f t="shared" si="42"/>
        <v>1407.8</v>
      </c>
      <c r="T94" s="50"/>
      <c r="V94"/>
    </row>
    <row r="95" spans="1:22">
      <c r="A95" s="3" t="s">
        <v>771</v>
      </c>
      <c r="B95" s="3" t="s">
        <v>83</v>
      </c>
      <c r="C95" s="158">
        <v>655</v>
      </c>
      <c r="D95" s="156">
        <v>665.5</v>
      </c>
      <c r="E95" s="135">
        <v>655</v>
      </c>
      <c r="F95" s="136">
        <v>699.5</v>
      </c>
      <c r="G95" s="136">
        <v>716.5</v>
      </c>
      <c r="H95">
        <v>680</v>
      </c>
      <c r="I95">
        <v>656.5</v>
      </c>
      <c r="J95">
        <v>639</v>
      </c>
      <c r="K95" s="12">
        <v>697.5</v>
      </c>
      <c r="L95" s="12">
        <v>692.5</v>
      </c>
      <c r="M95" s="16">
        <v>690</v>
      </c>
      <c r="N95" s="21">
        <v>673.5</v>
      </c>
      <c r="O95" s="21">
        <v>652</v>
      </c>
      <c r="P95" s="21">
        <v>651.5</v>
      </c>
      <c r="Q95" s="21">
        <v>638</v>
      </c>
      <c r="R95" s="21">
        <v>635.5</v>
      </c>
      <c r="S95" s="21">
        <v>627.5</v>
      </c>
      <c r="T95" s="50"/>
      <c r="V95"/>
    </row>
    <row r="96" spans="1:22">
      <c r="A96" s="3" t="s">
        <v>772</v>
      </c>
      <c r="B96" s="3" t="s">
        <v>84</v>
      </c>
      <c r="C96" s="156">
        <v>86.5</v>
      </c>
      <c r="D96" s="157">
        <v>86</v>
      </c>
      <c r="E96" s="131">
        <v>84.5</v>
      </c>
      <c r="F96" s="131">
        <v>82.5</v>
      </c>
      <c r="G96" s="130">
        <v>84</v>
      </c>
      <c r="H96">
        <v>81.5</v>
      </c>
      <c r="I96">
        <v>81</v>
      </c>
      <c r="J96">
        <v>87.5</v>
      </c>
      <c r="K96" s="10">
        <v>114</v>
      </c>
      <c r="L96" s="10">
        <v>113</v>
      </c>
      <c r="M96" s="10">
        <v>113</v>
      </c>
      <c r="N96" s="21">
        <v>113.5</v>
      </c>
      <c r="O96" s="21">
        <v>112</v>
      </c>
      <c r="P96" s="21">
        <v>111</v>
      </c>
      <c r="Q96" s="21">
        <v>111.5</v>
      </c>
      <c r="R96" s="21">
        <v>111</v>
      </c>
      <c r="S96" s="21">
        <v>106</v>
      </c>
      <c r="T96" s="50"/>
      <c r="V96"/>
    </row>
    <row r="97" spans="1:22">
      <c r="A97" s="3" t="s">
        <v>773</v>
      </c>
      <c r="B97" s="3" t="s">
        <v>85</v>
      </c>
      <c r="C97" s="156">
        <v>239.5</v>
      </c>
      <c r="D97" s="156">
        <v>237.5</v>
      </c>
      <c r="E97" s="131">
        <v>237.5</v>
      </c>
      <c r="F97" s="131">
        <v>235.5</v>
      </c>
      <c r="G97" s="131">
        <v>236.5</v>
      </c>
      <c r="H97">
        <v>237</v>
      </c>
      <c r="I97">
        <v>237.5</v>
      </c>
      <c r="J97">
        <v>247.5</v>
      </c>
      <c r="K97" s="10">
        <v>289</v>
      </c>
      <c r="L97" s="7">
        <v>285.5</v>
      </c>
      <c r="M97" s="10">
        <v>285</v>
      </c>
      <c r="N97" s="21">
        <v>283.5</v>
      </c>
      <c r="O97" s="21">
        <v>276.5</v>
      </c>
      <c r="P97" s="21">
        <v>272</v>
      </c>
      <c r="Q97" s="21">
        <v>270</v>
      </c>
      <c r="R97" s="21">
        <v>268</v>
      </c>
      <c r="S97" s="21">
        <v>267.5</v>
      </c>
      <c r="T97" s="50"/>
      <c r="V97"/>
    </row>
    <row r="98" spans="1:22">
      <c r="A98" s="3" t="s">
        <v>774</v>
      </c>
      <c r="B98" s="3" t="s">
        <v>86</v>
      </c>
      <c r="C98" s="157">
        <v>33</v>
      </c>
      <c r="D98" s="157">
        <v>33</v>
      </c>
      <c r="E98" s="131">
        <v>33.5</v>
      </c>
      <c r="F98" s="131">
        <v>34.5</v>
      </c>
      <c r="G98" s="131">
        <v>33.5</v>
      </c>
      <c r="H98">
        <v>33.5</v>
      </c>
      <c r="I98">
        <v>34</v>
      </c>
      <c r="J98">
        <v>39</v>
      </c>
      <c r="K98" s="8">
        <v>39</v>
      </c>
      <c r="L98" s="7">
        <v>39.5</v>
      </c>
      <c r="M98" s="8">
        <v>41</v>
      </c>
      <c r="N98" s="21">
        <v>46</v>
      </c>
      <c r="O98" s="21">
        <v>46</v>
      </c>
      <c r="P98" s="21">
        <v>47</v>
      </c>
      <c r="Q98" s="21">
        <v>48.5</v>
      </c>
      <c r="R98" s="21">
        <v>47</v>
      </c>
      <c r="S98" s="21">
        <v>47.5</v>
      </c>
      <c r="T98" s="50"/>
      <c r="V98"/>
    </row>
    <row r="99" spans="1:22">
      <c r="A99" s="3" t="s">
        <v>775</v>
      </c>
      <c r="B99" s="3" t="s">
        <v>87</v>
      </c>
      <c r="C99" s="158">
        <v>139</v>
      </c>
      <c r="D99" s="158">
        <v>145</v>
      </c>
      <c r="E99" s="129">
        <v>147</v>
      </c>
      <c r="F99" s="129">
        <v>159</v>
      </c>
      <c r="G99" s="129">
        <v>160</v>
      </c>
      <c r="H99">
        <v>174</v>
      </c>
      <c r="I99">
        <v>175.5</v>
      </c>
      <c r="J99">
        <v>199.5</v>
      </c>
      <c r="K99" s="10">
        <v>225</v>
      </c>
      <c r="L99" s="10">
        <v>229</v>
      </c>
      <c r="M99" s="7">
        <v>227.6</v>
      </c>
      <c r="N99" s="21">
        <v>247.3</v>
      </c>
      <c r="O99" s="21">
        <v>261.5</v>
      </c>
      <c r="P99" s="21">
        <v>262</v>
      </c>
      <c r="Q99" s="21">
        <v>277.39999999999998</v>
      </c>
      <c r="R99" s="21">
        <v>293.8</v>
      </c>
      <c r="S99" s="21">
        <v>307.8</v>
      </c>
      <c r="T99" s="50"/>
      <c r="V99"/>
    </row>
    <row r="100" spans="1:22">
      <c r="A100" s="3" t="s">
        <v>776</v>
      </c>
      <c r="B100" s="3" t="s">
        <v>88</v>
      </c>
      <c r="C100" s="156">
        <v>71.099999999999994</v>
      </c>
      <c r="D100" s="156">
        <v>70.099999999999994</v>
      </c>
      <c r="E100" s="131">
        <v>71.099999999999994</v>
      </c>
      <c r="F100" s="131">
        <v>79.099999999999994</v>
      </c>
      <c r="G100" s="131">
        <v>79.099999999999994</v>
      </c>
      <c r="H100">
        <v>65.099999999999994</v>
      </c>
      <c r="I100">
        <v>69.099999999999994</v>
      </c>
      <c r="J100">
        <v>70.099999999999994</v>
      </c>
      <c r="K100" s="9">
        <v>80.599999999999994</v>
      </c>
      <c r="L100" s="9">
        <v>80.599999999999994</v>
      </c>
      <c r="M100" s="9">
        <v>81.599999999999994</v>
      </c>
      <c r="N100" s="21">
        <v>71</v>
      </c>
      <c r="O100" s="21">
        <v>67.5</v>
      </c>
      <c r="P100" s="21">
        <v>65.5</v>
      </c>
      <c r="Q100" s="21">
        <v>68</v>
      </c>
      <c r="R100" s="21">
        <v>61.5</v>
      </c>
      <c r="S100" s="21">
        <v>51.5</v>
      </c>
      <c r="T100" s="50"/>
    </row>
    <row r="101" spans="1:22">
      <c r="A101" s="3" t="s">
        <v>777</v>
      </c>
      <c r="B101" s="27" t="s">
        <v>92</v>
      </c>
      <c r="C101" s="63">
        <f t="shared" ref="C101:D101" si="43">SUBTOTAL(9,C102:C103)</f>
        <v>445</v>
      </c>
      <c r="D101" s="63">
        <f t="shared" si="43"/>
        <v>444</v>
      </c>
      <c r="E101" s="63">
        <f t="shared" ref="E101:L101" si="44">SUBTOTAL(9,E102:E103)</f>
        <v>444</v>
      </c>
      <c r="F101" s="63">
        <f t="shared" si="44"/>
        <v>468</v>
      </c>
      <c r="G101" s="63">
        <f t="shared" si="44"/>
        <v>451</v>
      </c>
      <c r="H101" s="63">
        <f t="shared" si="44"/>
        <v>502</v>
      </c>
      <c r="I101" s="63">
        <f t="shared" si="44"/>
        <v>504</v>
      </c>
      <c r="J101" s="63">
        <f t="shared" si="44"/>
        <v>541</v>
      </c>
      <c r="K101" s="63">
        <f t="shared" si="44"/>
        <v>547</v>
      </c>
      <c r="L101" s="23">
        <f t="shared" si="44"/>
        <v>547</v>
      </c>
      <c r="M101" s="23">
        <f t="shared" ref="M101" si="45">SUBTOTAL(9,M102:M103)</f>
        <v>544</v>
      </c>
      <c r="N101" s="23">
        <f t="shared" ref="N101:S101" si="46">SUBTOTAL(9,N102:N103)</f>
        <v>536.5</v>
      </c>
      <c r="O101" s="23">
        <f t="shared" si="46"/>
        <v>538</v>
      </c>
      <c r="P101" s="23">
        <f t="shared" si="46"/>
        <v>545</v>
      </c>
      <c r="Q101" s="23">
        <f t="shared" si="46"/>
        <v>546</v>
      </c>
      <c r="R101" s="23">
        <f t="shared" si="46"/>
        <v>559</v>
      </c>
      <c r="S101" s="23">
        <f t="shared" si="46"/>
        <v>553</v>
      </c>
      <c r="T101" s="50"/>
    </row>
    <row r="102" spans="1:22">
      <c r="A102" s="3" t="s">
        <v>778</v>
      </c>
      <c r="B102" s="3" t="s">
        <v>90</v>
      </c>
      <c r="C102" s="158">
        <v>417</v>
      </c>
      <c r="D102" s="158">
        <v>416</v>
      </c>
      <c r="E102" s="135">
        <v>416</v>
      </c>
      <c r="F102" s="135">
        <v>440</v>
      </c>
      <c r="G102" s="135">
        <v>422</v>
      </c>
      <c r="H102">
        <v>468</v>
      </c>
      <c r="I102">
        <v>470</v>
      </c>
      <c r="J102">
        <v>506</v>
      </c>
      <c r="K102" s="10">
        <v>511</v>
      </c>
      <c r="L102" s="10">
        <v>511</v>
      </c>
      <c r="M102" s="10">
        <v>508</v>
      </c>
      <c r="N102" s="21">
        <v>500.5</v>
      </c>
      <c r="O102" s="21">
        <v>501</v>
      </c>
      <c r="P102" s="21">
        <v>508</v>
      </c>
      <c r="Q102" s="21">
        <v>509</v>
      </c>
      <c r="R102" s="21">
        <v>522</v>
      </c>
      <c r="S102" s="21">
        <v>522</v>
      </c>
      <c r="T102" s="50"/>
    </row>
    <row r="103" spans="1:22">
      <c r="A103" s="3" t="s">
        <v>779</v>
      </c>
      <c r="B103" s="3" t="s">
        <v>91</v>
      </c>
      <c r="C103" s="157">
        <v>28</v>
      </c>
      <c r="D103" s="157">
        <v>28</v>
      </c>
      <c r="E103" s="130">
        <v>28</v>
      </c>
      <c r="F103" s="130">
        <v>28</v>
      </c>
      <c r="G103" s="130">
        <v>29</v>
      </c>
      <c r="H103">
        <v>34</v>
      </c>
      <c r="I103">
        <v>34</v>
      </c>
      <c r="J103">
        <v>35</v>
      </c>
      <c r="K103" s="11">
        <v>36</v>
      </c>
      <c r="L103" s="11">
        <v>36</v>
      </c>
      <c r="M103" s="11">
        <v>36</v>
      </c>
      <c r="N103" s="21">
        <v>36</v>
      </c>
      <c r="O103" s="21">
        <v>37</v>
      </c>
      <c r="P103" s="21">
        <v>37</v>
      </c>
      <c r="Q103" s="21">
        <v>37</v>
      </c>
      <c r="R103" s="21">
        <v>37</v>
      </c>
      <c r="S103" s="21">
        <v>31</v>
      </c>
      <c r="T103" s="50"/>
    </row>
    <row r="104" spans="1:22">
      <c r="A104" s="3" t="s">
        <v>780</v>
      </c>
      <c r="B104" s="27" t="s">
        <v>95</v>
      </c>
      <c r="C104" s="63">
        <f t="shared" ref="C104:D104" si="47">SUBTOTAL(9,C105:C107)</f>
        <v>1354</v>
      </c>
      <c r="D104" s="63">
        <f t="shared" si="47"/>
        <v>1360</v>
      </c>
      <c r="E104" s="63">
        <f t="shared" ref="E104:L104" si="48">SUBTOTAL(9,E105:E107)</f>
        <v>1334.5</v>
      </c>
      <c r="F104" s="63">
        <f t="shared" si="48"/>
        <v>1368</v>
      </c>
      <c r="G104" s="63">
        <f t="shared" si="48"/>
        <v>1361</v>
      </c>
      <c r="H104" s="63">
        <f t="shared" si="48"/>
        <v>1302</v>
      </c>
      <c r="I104" s="63">
        <f t="shared" si="48"/>
        <v>1285.5</v>
      </c>
      <c r="J104" s="63">
        <f t="shared" si="48"/>
        <v>1362.5</v>
      </c>
      <c r="K104" s="63">
        <f t="shared" si="48"/>
        <v>1467</v>
      </c>
      <c r="L104" s="23">
        <f t="shared" si="48"/>
        <v>1445.5</v>
      </c>
      <c r="M104" s="23">
        <f t="shared" ref="M104" si="49">SUBTOTAL(9,M105:M107)</f>
        <v>1432.5</v>
      </c>
      <c r="N104" s="23">
        <f t="shared" ref="N104:S104" si="50">SUBTOTAL(9,N105:N107)</f>
        <v>1421</v>
      </c>
      <c r="O104" s="23">
        <f t="shared" si="50"/>
        <v>1401.5</v>
      </c>
      <c r="P104" s="23">
        <f t="shared" si="50"/>
        <v>1384.5</v>
      </c>
      <c r="Q104" s="23">
        <f t="shared" si="50"/>
        <v>1368.5</v>
      </c>
      <c r="R104" s="23">
        <f t="shared" si="50"/>
        <v>1340</v>
      </c>
      <c r="S104" s="23">
        <f t="shared" si="50"/>
        <v>1291.5</v>
      </c>
      <c r="T104" s="50"/>
    </row>
    <row r="105" spans="1:22">
      <c r="A105" s="3" t="s">
        <v>781</v>
      </c>
      <c r="B105" s="3" t="s">
        <v>9</v>
      </c>
      <c r="C105" s="160">
        <v>1303</v>
      </c>
      <c r="D105" s="160">
        <v>1307</v>
      </c>
      <c r="E105" s="137">
        <v>1281.5</v>
      </c>
      <c r="F105" s="138">
        <v>1325</v>
      </c>
      <c r="G105" s="138">
        <v>1318</v>
      </c>
      <c r="H105">
        <v>1279</v>
      </c>
      <c r="I105">
        <v>1262.5</v>
      </c>
      <c r="J105">
        <v>1338.5</v>
      </c>
      <c r="K105" s="15">
        <v>1443</v>
      </c>
      <c r="L105" s="14">
        <v>1421.5</v>
      </c>
      <c r="M105" s="14">
        <v>1407.5</v>
      </c>
      <c r="N105" s="21">
        <v>1396</v>
      </c>
      <c r="O105" s="21">
        <v>1376.5</v>
      </c>
      <c r="P105" s="21">
        <v>1358.5</v>
      </c>
      <c r="Q105" s="21">
        <v>1341.5</v>
      </c>
      <c r="R105" s="21">
        <v>1324</v>
      </c>
      <c r="S105" s="21">
        <v>1291.5</v>
      </c>
      <c r="T105" s="50"/>
    </row>
    <row r="106" spans="1:22">
      <c r="A106" s="3" t="s">
        <v>782</v>
      </c>
      <c r="B106" s="3" t="s">
        <v>93</v>
      </c>
      <c r="C106" s="157">
        <v>33</v>
      </c>
      <c r="D106" s="157">
        <v>33</v>
      </c>
      <c r="E106" s="130">
        <v>33</v>
      </c>
      <c r="F106" s="130">
        <v>33</v>
      </c>
      <c r="G106" s="130">
        <v>33</v>
      </c>
      <c r="H106">
        <v>13</v>
      </c>
      <c r="I106">
        <v>13</v>
      </c>
      <c r="J106">
        <v>13</v>
      </c>
      <c r="K106" s="8">
        <v>13</v>
      </c>
      <c r="L106" s="8">
        <v>13</v>
      </c>
      <c r="M106" s="8">
        <v>13</v>
      </c>
      <c r="N106" s="21">
        <v>13</v>
      </c>
      <c r="O106" s="21">
        <v>13</v>
      </c>
      <c r="P106" s="21">
        <v>13</v>
      </c>
      <c r="Q106" s="21">
        <v>14</v>
      </c>
      <c r="R106" s="21">
        <v>16</v>
      </c>
      <c r="S106" s="21">
        <v>0</v>
      </c>
      <c r="T106" s="50"/>
    </row>
    <row r="107" spans="1:22">
      <c r="A107" s="3" t="s">
        <v>783</v>
      </c>
      <c r="B107" s="3" t="s">
        <v>94</v>
      </c>
      <c r="C107" s="157">
        <v>18</v>
      </c>
      <c r="D107" s="157">
        <v>20</v>
      </c>
      <c r="E107" s="130">
        <v>20</v>
      </c>
      <c r="F107" s="130">
        <v>10</v>
      </c>
      <c r="G107" s="130">
        <v>10</v>
      </c>
      <c r="H107">
        <v>10</v>
      </c>
      <c r="I107">
        <v>10</v>
      </c>
      <c r="J107">
        <v>11</v>
      </c>
      <c r="K107" s="11">
        <v>11</v>
      </c>
      <c r="L107" s="11">
        <v>11</v>
      </c>
      <c r="M107" s="11">
        <v>12</v>
      </c>
      <c r="N107" s="21">
        <v>12</v>
      </c>
      <c r="O107" s="21">
        <v>12</v>
      </c>
      <c r="P107" s="21">
        <v>13</v>
      </c>
      <c r="Q107" s="21">
        <v>13</v>
      </c>
      <c r="R107" s="21">
        <v>0</v>
      </c>
      <c r="S107" s="21">
        <v>0</v>
      </c>
      <c r="T107" s="50"/>
    </row>
    <row r="108" spans="1:22">
      <c r="A108" s="3" t="s">
        <v>784</v>
      </c>
      <c r="B108" s="50" t="s">
        <v>172</v>
      </c>
      <c r="C108" s="63">
        <f t="shared" ref="C108:D108" si="51">SUBTOTAL(9,C109:C109)</f>
        <v>29</v>
      </c>
      <c r="D108" s="63">
        <f t="shared" si="51"/>
        <v>30</v>
      </c>
      <c r="E108" s="63">
        <f t="shared" ref="E108:L108" si="52">SUBTOTAL(9,E109:E109)</f>
        <v>29</v>
      </c>
      <c r="F108" s="63">
        <f t="shared" si="52"/>
        <v>29</v>
      </c>
      <c r="G108" s="63">
        <f t="shared" si="52"/>
        <v>33</v>
      </c>
      <c r="H108" s="63">
        <f t="shared" si="52"/>
        <v>33</v>
      </c>
      <c r="I108" s="63">
        <f t="shared" si="52"/>
        <v>33</v>
      </c>
      <c r="J108" s="63">
        <f t="shared" si="52"/>
        <v>35</v>
      </c>
      <c r="K108" s="63">
        <f t="shared" si="52"/>
        <v>35</v>
      </c>
      <c r="L108" s="23">
        <f t="shared" si="52"/>
        <v>35</v>
      </c>
      <c r="M108" s="23">
        <f t="shared" ref="M108" si="53">SUBTOTAL(9,M109:M109)</f>
        <v>33</v>
      </c>
      <c r="N108" s="23">
        <f t="shared" ref="N108:S108" si="54">SUBTOTAL(9,N109:N109)</f>
        <v>33</v>
      </c>
      <c r="O108" s="23">
        <f t="shared" si="54"/>
        <v>32</v>
      </c>
      <c r="P108" s="23">
        <f t="shared" si="54"/>
        <v>32</v>
      </c>
      <c r="Q108" s="23">
        <f t="shared" si="54"/>
        <v>32</v>
      </c>
      <c r="R108" s="23">
        <f t="shared" si="54"/>
        <v>32</v>
      </c>
      <c r="S108" s="23">
        <f t="shared" si="54"/>
        <v>32</v>
      </c>
      <c r="T108" s="50"/>
    </row>
    <row r="109" spans="1:22">
      <c r="A109" s="3" t="s">
        <v>785</v>
      </c>
      <c r="B109" s="3" t="s">
        <v>96</v>
      </c>
      <c r="C109" s="139">
        <v>29</v>
      </c>
      <c r="D109" s="139">
        <v>30</v>
      </c>
      <c r="E109" s="139">
        <v>29</v>
      </c>
      <c r="F109" s="139">
        <v>29</v>
      </c>
      <c r="G109" s="139">
        <v>33</v>
      </c>
      <c r="H109">
        <v>33</v>
      </c>
      <c r="I109">
        <v>33</v>
      </c>
      <c r="J109">
        <v>35</v>
      </c>
      <c r="K109" s="8">
        <v>35</v>
      </c>
      <c r="L109" s="8">
        <v>35</v>
      </c>
      <c r="M109" s="8">
        <v>33</v>
      </c>
      <c r="N109" s="21">
        <v>33</v>
      </c>
      <c r="O109" s="21">
        <v>32</v>
      </c>
      <c r="P109" s="21">
        <v>32</v>
      </c>
      <c r="Q109" s="21">
        <v>32</v>
      </c>
      <c r="R109" s="21">
        <v>32</v>
      </c>
      <c r="S109" s="21">
        <v>32</v>
      </c>
      <c r="T109" s="50"/>
    </row>
    <row r="111" spans="1:22" ht="15.75">
      <c r="A111" s="3"/>
      <c r="B111" s="25" t="s">
        <v>128</v>
      </c>
      <c r="C111" s="25"/>
      <c r="D111" s="25"/>
      <c r="E111" s="65">
        <f t="shared" ref="E111:F111" si="55">SUBTOTAL(9,E112:E124)</f>
        <v>43.5</v>
      </c>
      <c r="F111" s="65">
        <f t="shared" si="55"/>
        <v>43.5</v>
      </c>
      <c r="G111" s="65">
        <f t="shared" ref="G111" si="56">SUBTOTAL(9,G112:G124)</f>
        <v>43.5</v>
      </c>
      <c r="H111" s="65">
        <f t="shared" ref="H111" si="57">SUBTOTAL(9,H112:H124)</f>
        <v>43.5</v>
      </c>
      <c r="I111" s="65">
        <f t="shared" ref="I111" si="58">SUBTOTAL(9,I112:I124)</f>
        <v>41.5</v>
      </c>
      <c r="J111" s="65">
        <f t="shared" ref="J111" si="59">SUBTOTAL(9,J112:J124)</f>
        <v>41.5</v>
      </c>
      <c r="K111" s="65"/>
      <c r="L111" s="65"/>
      <c r="M111" s="65"/>
      <c r="N111" s="65"/>
      <c r="O111" s="65">
        <f>SUBTOTAL(9,O113:O124)</f>
        <v>41.5</v>
      </c>
      <c r="P111" s="65">
        <f>SUBTOTAL(9,P113:P124)</f>
        <v>41.5</v>
      </c>
      <c r="Q111" s="65">
        <f>SUBTOTAL(9,Q113:Q124)</f>
        <v>41.5</v>
      </c>
      <c r="R111" s="65">
        <f>SUBTOTAL(9,R113:R124)</f>
        <v>40.5</v>
      </c>
      <c r="S111" s="65">
        <f>SUBTOTAL(9,S113:S124)</f>
        <v>39</v>
      </c>
    </row>
    <row r="112" spans="1:22">
      <c r="A112" s="3" t="s">
        <v>715</v>
      </c>
      <c r="B112" s="23" t="s">
        <v>120</v>
      </c>
      <c r="C112" s="23"/>
      <c r="D112" s="23"/>
      <c r="E112" s="63">
        <f t="shared" ref="E112:J112" si="60">SUBTOTAL(9,E113:E114)</f>
        <v>5</v>
      </c>
      <c r="F112" s="63">
        <f t="shared" si="60"/>
        <v>5</v>
      </c>
      <c r="G112" s="63">
        <f t="shared" si="60"/>
        <v>5</v>
      </c>
      <c r="H112" s="63">
        <f t="shared" si="60"/>
        <v>5</v>
      </c>
      <c r="I112" s="63">
        <f t="shared" si="60"/>
        <v>5</v>
      </c>
      <c r="J112" s="63">
        <f t="shared" si="60"/>
        <v>5</v>
      </c>
      <c r="O112" s="63">
        <f>SUBTOTAL(9,O113:O114)</f>
        <v>4</v>
      </c>
      <c r="P112" s="63">
        <f>SUBTOTAL(9,P113:P114)</f>
        <v>4</v>
      </c>
      <c r="Q112" s="63">
        <f>SUBTOTAL(9,Q113:Q114)</f>
        <v>5</v>
      </c>
      <c r="R112" s="63">
        <f>SUBTOTAL(9,R113:R114)</f>
        <v>6</v>
      </c>
      <c r="S112" s="63">
        <f>SUBTOTAL(9,S113:S114)</f>
        <v>6</v>
      </c>
    </row>
    <row r="113" spans="1:20">
      <c r="A113" s="3" t="s">
        <v>716</v>
      </c>
      <c r="B113" t="s">
        <v>129</v>
      </c>
      <c r="C113"/>
      <c r="D113"/>
      <c r="E113">
        <v>1</v>
      </c>
      <c r="F113">
        <v>1</v>
      </c>
      <c r="G113">
        <v>1</v>
      </c>
      <c r="H113">
        <v>1</v>
      </c>
      <c r="I113">
        <v>1</v>
      </c>
      <c r="J113">
        <v>1</v>
      </c>
      <c r="O113" s="5">
        <v>1</v>
      </c>
      <c r="P113" s="5">
        <v>1</v>
      </c>
      <c r="Q113" s="5">
        <v>1</v>
      </c>
      <c r="R113" s="5">
        <v>1</v>
      </c>
      <c r="S113" s="5">
        <v>1</v>
      </c>
    </row>
    <row r="114" spans="1:20">
      <c r="A114" s="3" t="s">
        <v>717</v>
      </c>
      <c r="B114" t="s">
        <v>130</v>
      </c>
      <c r="C114"/>
      <c r="D114"/>
      <c r="E114">
        <v>4</v>
      </c>
      <c r="F114">
        <v>4</v>
      </c>
      <c r="G114">
        <v>4</v>
      </c>
      <c r="H114">
        <v>4</v>
      </c>
      <c r="I114">
        <v>4</v>
      </c>
      <c r="J114">
        <v>4</v>
      </c>
      <c r="O114" s="5">
        <v>3</v>
      </c>
      <c r="P114" s="5">
        <v>3</v>
      </c>
      <c r="Q114" s="5">
        <v>4</v>
      </c>
      <c r="R114" s="5">
        <v>5</v>
      </c>
      <c r="S114" s="5">
        <v>5</v>
      </c>
    </row>
    <row r="115" spans="1:20">
      <c r="A115" s="3" t="s">
        <v>718</v>
      </c>
      <c r="B115" s="23" t="s">
        <v>121</v>
      </c>
      <c r="C115" s="23"/>
      <c r="D115" s="23"/>
      <c r="E115" s="63">
        <f t="shared" ref="E115:J115" si="61">SUBTOTAL(9,E116:E117)</f>
        <v>14</v>
      </c>
      <c r="F115" s="63">
        <f t="shared" si="61"/>
        <v>14</v>
      </c>
      <c r="G115" s="63">
        <f t="shared" si="61"/>
        <v>14</v>
      </c>
      <c r="H115" s="63">
        <f t="shared" si="61"/>
        <v>14</v>
      </c>
      <c r="I115" s="63">
        <f t="shared" si="61"/>
        <v>13</v>
      </c>
      <c r="J115" s="63">
        <f t="shared" si="61"/>
        <v>13</v>
      </c>
      <c r="O115" s="63">
        <f>SUBTOTAL(9,O116:O117)</f>
        <v>14</v>
      </c>
      <c r="P115" s="63">
        <f>SUBTOTAL(9,P116:P117)</f>
        <v>14</v>
      </c>
      <c r="Q115" s="63">
        <f>SUBTOTAL(9,Q116:Q117)</f>
        <v>13</v>
      </c>
      <c r="R115" s="63">
        <f>SUBTOTAL(9,R116:R117)</f>
        <v>1</v>
      </c>
      <c r="S115" s="63">
        <f>SUBTOTAL(9,S116:S117)</f>
        <v>1</v>
      </c>
    </row>
    <row r="116" spans="1:20">
      <c r="A116" s="3" t="s">
        <v>728</v>
      </c>
      <c r="B116" t="s">
        <v>131</v>
      </c>
      <c r="C116"/>
      <c r="D116"/>
      <c r="E116">
        <v>14</v>
      </c>
      <c r="F116">
        <v>14</v>
      </c>
      <c r="G116">
        <v>14</v>
      </c>
      <c r="H116">
        <v>14</v>
      </c>
      <c r="I116">
        <v>13</v>
      </c>
      <c r="J116">
        <v>13</v>
      </c>
      <c r="O116" s="5">
        <v>13</v>
      </c>
      <c r="P116" s="5">
        <v>13</v>
      </c>
      <c r="Q116" s="5">
        <v>12</v>
      </c>
      <c r="R116" s="5">
        <v>1</v>
      </c>
      <c r="S116" s="5">
        <v>1</v>
      </c>
    </row>
    <row r="117" spans="1:20">
      <c r="A117" s="3"/>
      <c r="B117" s="24" t="s">
        <v>41</v>
      </c>
      <c r="C117" s="24"/>
      <c r="D117" s="24"/>
      <c r="F117"/>
      <c r="G117"/>
      <c r="H117"/>
      <c r="I117"/>
      <c r="J117"/>
      <c r="O117" s="5">
        <v>1</v>
      </c>
      <c r="P117" s="5">
        <v>1</v>
      </c>
      <c r="Q117" s="5">
        <v>1</v>
      </c>
      <c r="R117" s="5">
        <v>0</v>
      </c>
      <c r="S117" s="5">
        <v>0</v>
      </c>
    </row>
    <row r="118" spans="1:20">
      <c r="A118" s="3" t="s">
        <v>730</v>
      </c>
      <c r="B118" s="23" t="s">
        <v>122</v>
      </c>
      <c r="C118" s="23"/>
      <c r="D118" s="23"/>
      <c r="E118" s="63">
        <f t="shared" ref="E118:J118" si="62">SUBTOTAL(9,E119:E119)</f>
        <v>2.5</v>
      </c>
      <c r="F118" s="63">
        <f t="shared" si="62"/>
        <v>2.5</v>
      </c>
      <c r="G118" s="63">
        <f t="shared" si="62"/>
        <v>2.5</v>
      </c>
      <c r="H118" s="63">
        <f t="shared" si="62"/>
        <v>2.5</v>
      </c>
      <c r="I118" s="63">
        <f t="shared" si="62"/>
        <v>2.5</v>
      </c>
      <c r="J118" s="63">
        <f t="shared" si="62"/>
        <v>2.5</v>
      </c>
      <c r="O118" s="63">
        <f>SUBTOTAL(9,O119:O119)</f>
        <v>5.5</v>
      </c>
      <c r="P118" s="63">
        <f>SUBTOTAL(9,P119:P119)</f>
        <v>5.5</v>
      </c>
      <c r="Q118" s="63">
        <f>SUBTOTAL(9,Q119:Q119)</f>
        <v>5.5</v>
      </c>
      <c r="R118" s="63">
        <f>SUBTOTAL(9,R119:R119)</f>
        <v>15.5</v>
      </c>
      <c r="S118" s="63">
        <f>SUBTOTAL(9,S119:S119)</f>
        <v>15</v>
      </c>
    </row>
    <row r="119" spans="1:20">
      <c r="A119" s="3" t="s">
        <v>731</v>
      </c>
      <c r="B119" t="s">
        <v>132</v>
      </c>
      <c r="C119"/>
      <c r="D119"/>
      <c r="E119">
        <v>2.5</v>
      </c>
      <c r="F119">
        <v>2.5</v>
      </c>
      <c r="G119">
        <v>2.5</v>
      </c>
      <c r="H119">
        <v>2.5</v>
      </c>
      <c r="I119">
        <v>2.5</v>
      </c>
      <c r="J119">
        <v>2.5</v>
      </c>
      <c r="O119" s="5">
        <v>5.5</v>
      </c>
      <c r="P119" s="5">
        <v>5.5</v>
      </c>
      <c r="Q119" s="5">
        <v>5.5</v>
      </c>
      <c r="R119" s="5">
        <v>15.5</v>
      </c>
      <c r="S119" s="5">
        <v>15</v>
      </c>
    </row>
    <row r="120" spans="1:20">
      <c r="A120" s="3" t="s">
        <v>770</v>
      </c>
      <c r="B120" s="23" t="s">
        <v>126</v>
      </c>
      <c r="C120" s="23"/>
      <c r="D120" s="23"/>
      <c r="E120" s="63">
        <f t="shared" ref="E120:J120" si="63">SUBTOTAL(9,E121:E122)</f>
        <v>9</v>
      </c>
      <c r="F120" s="63">
        <f t="shared" si="63"/>
        <v>9</v>
      </c>
      <c r="G120" s="63">
        <f t="shared" si="63"/>
        <v>9</v>
      </c>
      <c r="H120" s="63">
        <f t="shared" si="63"/>
        <v>9</v>
      </c>
      <c r="I120" s="63">
        <f t="shared" si="63"/>
        <v>9</v>
      </c>
      <c r="J120" s="63">
        <f t="shared" si="63"/>
        <v>9</v>
      </c>
      <c r="O120" s="63">
        <f>SUBTOTAL(9,O121:O122)</f>
        <v>9</v>
      </c>
      <c r="P120" s="63">
        <f>SUBTOTAL(9,P121:P122)</f>
        <v>9</v>
      </c>
      <c r="Q120" s="63">
        <f>SUBTOTAL(9,Q121:Q122)</f>
        <v>9</v>
      </c>
      <c r="R120" s="63">
        <f>SUBTOTAL(9,R121:R122)</f>
        <v>9</v>
      </c>
      <c r="S120" s="63">
        <f>SUBTOTAL(9,S121:S122)</f>
        <v>8</v>
      </c>
    </row>
    <row r="121" spans="1:20">
      <c r="A121" s="3" t="s">
        <v>775</v>
      </c>
      <c r="B121" t="s">
        <v>133</v>
      </c>
      <c r="C121"/>
      <c r="D121"/>
      <c r="E121">
        <v>7</v>
      </c>
      <c r="F121">
        <v>7</v>
      </c>
      <c r="G121">
        <v>7</v>
      </c>
      <c r="H121">
        <v>7</v>
      </c>
      <c r="I121">
        <v>7</v>
      </c>
      <c r="J121">
        <v>8</v>
      </c>
      <c r="O121" s="5">
        <v>8</v>
      </c>
      <c r="P121" s="5">
        <v>8</v>
      </c>
      <c r="Q121" s="5">
        <v>8</v>
      </c>
      <c r="R121" s="5">
        <v>8</v>
      </c>
      <c r="S121" s="5">
        <v>8</v>
      </c>
    </row>
    <row r="122" spans="1:20">
      <c r="A122" s="3" t="s">
        <v>776</v>
      </c>
      <c r="B122" t="s">
        <v>134</v>
      </c>
      <c r="C122"/>
      <c r="D122"/>
      <c r="E122">
        <v>2</v>
      </c>
      <c r="F122">
        <v>2</v>
      </c>
      <c r="G122">
        <v>2</v>
      </c>
      <c r="H122">
        <v>2</v>
      </c>
      <c r="I122">
        <v>2</v>
      </c>
      <c r="J122">
        <v>1</v>
      </c>
      <c r="O122" s="5">
        <v>1</v>
      </c>
      <c r="P122" s="5">
        <v>1</v>
      </c>
      <c r="Q122" s="5">
        <v>1</v>
      </c>
      <c r="R122" s="5">
        <v>1</v>
      </c>
      <c r="S122" s="5">
        <v>0</v>
      </c>
    </row>
    <row r="123" spans="1:20">
      <c r="A123" s="3" t="s">
        <v>777</v>
      </c>
      <c r="B123" s="23" t="s">
        <v>127</v>
      </c>
      <c r="C123" s="23"/>
      <c r="D123" s="23"/>
      <c r="E123" s="63">
        <f t="shared" ref="E123:J123" si="64">SUBTOTAL(9,E124:E124)</f>
        <v>13</v>
      </c>
      <c r="F123" s="63">
        <f t="shared" si="64"/>
        <v>13</v>
      </c>
      <c r="G123" s="63">
        <f t="shared" si="64"/>
        <v>13</v>
      </c>
      <c r="H123" s="63">
        <f t="shared" si="64"/>
        <v>13</v>
      </c>
      <c r="I123" s="63">
        <f t="shared" si="64"/>
        <v>12</v>
      </c>
      <c r="J123" s="63">
        <f t="shared" si="64"/>
        <v>12</v>
      </c>
      <c r="O123" s="63">
        <f>SUBTOTAL(9,O124:O124)</f>
        <v>9</v>
      </c>
      <c r="P123" s="63">
        <f>SUBTOTAL(9,P124:P124)</f>
        <v>9</v>
      </c>
      <c r="Q123" s="63">
        <f>SUBTOTAL(9,Q124:Q124)</f>
        <v>9</v>
      </c>
      <c r="R123" s="63">
        <f>SUBTOTAL(9,R124:R124)</f>
        <v>9</v>
      </c>
      <c r="S123" s="63">
        <f>SUBTOTAL(9,S124:S124)</f>
        <v>9</v>
      </c>
    </row>
    <row r="124" spans="1:20">
      <c r="A124" s="3" t="s">
        <v>778</v>
      </c>
      <c r="B124" t="s">
        <v>135</v>
      </c>
      <c r="C124"/>
      <c r="D124"/>
      <c r="E124">
        <v>13</v>
      </c>
      <c r="F124">
        <v>13</v>
      </c>
      <c r="G124">
        <v>13</v>
      </c>
      <c r="H124">
        <v>13</v>
      </c>
      <c r="I124">
        <v>12</v>
      </c>
      <c r="J124">
        <v>12</v>
      </c>
      <c r="O124" s="5">
        <v>9</v>
      </c>
      <c r="P124" s="5">
        <v>9</v>
      </c>
      <c r="Q124" s="5">
        <v>9</v>
      </c>
      <c r="R124" s="5">
        <v>9</v>
      </c>
      <c r="S124" s="5">
        <v>9</v>
      </c>
    </row>
    <row r="125" spans="1:20">
      <c r="A125" s="3" t="s">
        <v>786</v>
      </c>
      <c r="B125"/>
      <c r="C125"/>
      <c r="D125"/>
      <c r="F125"/>
      <c r="G125"/>
      <c r="H125"/>
      <c r="I125"/>
      <c r="J125"/>
    </row>
    <row r="126" spans="1:20" ht="15.75">
      <c r="A126" s="3" t="s">
        <v>787</v>
      </c>
      <c r="B126" s="25" t="s">
        <v>136</v>
      </c>
      <c r="C126" s="25"/>
      <c r="D126" s="25"/>
      <c r="E126" s="63">
        <f t="shared" ref="E126:J126" si="65">SUBTOTAL(9,E127:E163)</f>
        <v>511.4</v>
      </c>
      <c r="F126" s="63">
        <f t="shared" si="65"/>
        <v>519.40000000000009</v>
      </c>
      <c r="G126" s="63">
        <f t="shared" si="65"/>
        <v>528.1</v>
      </c>
      <c r="H126" s="63">
        <f t="shared" si="65"/>
        <v>506.50000000000006</v>
      </c>
      <c r="I126" s="63">
        <f t="shared" si="65"/>
        <v>542.29999999999995</v>
      </c>
      <c r="J126" s="63">
        <f t="shared" si="65"/>
        <v>514.29999999999995</v>
      </c>
      <c r="K126"/>
      <c r="L126"/>
      <c r="M126"/>
      <c r="N126"/>
      <c r="O126" s="63">
        <f>SUBTOTAL(9,O127:O163)</f>
        <v>402.8</v>
      </c>
      <c r="P126" s="63">
        <f>SUBTOTAL(9,P127:P163)</f>
        <v>416.79999999999995</v>
      </c>
      <c r="Q126" s="63">
        <f>SUBTOTAL(9,Q127:Q163)</f>
        <v>299.7</v>
      </c>
      <c r="R126" s="63">
        <f>SUBTOTAL(9,R127:R163)</f>
        <v>264.60000000000002</v>
      </c>
      <c r="S126" s="63">
        <f>SUBTOTAL(9,S127:S163)</f>
        <v>217.2</v>
      </c>
    </row>
    <row r="127" spans="1:20">
      <c r="A127" s="3" t="s">
        <v>701</v>
      </c>
      <c r="B127" s="23" t="s">
        <v>118</v>
      </c>
      <c r="C127" s="23"/>
      <c r="D127" s="23"/>
      <c r="E127" s="63">
        <f t="shared" ref="E127:J127" si="66">SUBTOTAL(9,E128:E128)</f>
        <v>1</v>
      </c>
      <c r="F127" s="63">
        <f t="shared" si="66"/>
        <v>1</v>
      </c>
      <c r="G127" s="63">
        <f t="shared" si="66"/>
        <v>1</v>
      </c>
      <c r="H127" s="63">
        <f t="shared" si="66"/>
        <v>1</v>
      </c>
      <c r="I127" s="63">
        <f t="shared" si="66"/>
        <v>1</v>
      </c>
      <c r="J127" s="63">
        <f t="shared" si="66"/>
        <v>1</v>
      </c>
      <c r="K127"/>
      <c r="L127"/>
      <c r="M127"/>
      <c r="N127"/>
      <c r="O127" s="63">
        <f>SUBTOTAL(9,O128:O128)</f>
        <v>0</v>
      </c>
      <c r="P127" s="63">
        <f>SUBTOTAL(9,P128:P128)</f>
        <v>0</v>
      </c>
      <c r="Q127" s="63">
        <f>SUBTOTAL(9,Q128:Q128)</f>
        <v>0</v>
      </c>
      <c r="R127" s="63">
        <f>SUBTOTAL(9,R128:R128)</f>
        <v>0</v>
      </c>
      <c r="S127" s="63">
        <f>SUBTOTAL(9,S128:S128)</f>
        <v>0</v>
      </c>
      <c r="T127"/>
    </row>
    <row r="128" spans="1:20">
      <c r="A128" s="3" t="s">
        <v>702</v>
      </c>
      <c r="B128" t="s">
        <v>137</v>
      </c>
      <c r="C128"/>
      <c r="D128"/>
      <c r="E128">
        <v>1</v>
      </c>
      <c r="F128">
        <v>1</v>
      </c>
      <c r="G128">
        <v>1</v>
      </c>
      <c r="H128">
        <v>1</v>
      </c>
      <c r="I128">
        <v>1</v>
      </c>
      <c r="J128">
        <v>1</v>
      </c>
      <c r="O128" s="5">
        <v>0</v>
      </c>
      <c r="P128" s="5">
        <v>0</v>
      </c>
      <c r="Q128" s="5">
        <v>0</v>
      </c>
      <c r="R128" s="5">
        <v>0</v>
      </c>
      <c r="S128" s="5">
        <v>0</v>
      </c>
    </row>
    <row r="129" spans="1:19">
      <c r="A129" s="3" t="s">
        <v>707</v>
      </c>
      <c r="B129" s="23" t="s">
        <v>119</v>
      </c>
      <c r="C129" s="23"/>
      <c r="D129" s="23"/>
      <c r="E129" s="63">
        <f t="shared" ref="E129:J129" si="67">SUBTOTAL(9,E130:E130)</f>
        <v>1</v>
      </c>
      <c r="F129" s="63">
        <f t="shared" si="67"/>
        <v>1</v>
      </c>
      <c r="G129" s="63">
        <f t="shared" si="67"/>
        <v>1</v>
      </c>
      <c r="H129" s="63">
        <f t="shared" si="67"/>
        <v>1</v>
      </c>
      <c r="I129" s="63">
        <f t="shared" si="67"/>
        <v>1</v>
      </c>
      <c r="J129" s="63">
        <f t="shared" si="67"/>
        <v>1</v>
      </c>
      <c r="K129"/>
      <c r="L129"/>
      <c r="M129"/>
      <c r="N129"/>
      <c r="O129" s="63">
        <f>SUBTOTAL(9,O130:O130)</f>
        <v>0</v>
      </c>
      <c r="P129" s="63">
        <f>SUBTOTAL(9,P130:P130)</f>
        <v>0</v>
      </c>
      <c r="Q129" s="63">
        <f>SUBTOTAL(9,Q130:Q130)</f>
        <v>0</v>
      </c>
      <c r="R129" s="63">
        <f>SUBTOTAL(9,R130:R130)</f>
        <v>0</v>
      </c>
      <c r="S129" s="63">
        <f>SUBTOTAL(9,S130:S130)</f>
        <v>0</v>
      </c>
    </row>
    <row r="130" spans="1:19">
      <c r="A130" s="3" t="s">
        <v>712</v>
      </c>
      <c r="B130" t="s">
        <v>138</v>
      </c>
      <c r="C130"/>
      <c r="D130"/>
      <c r="E130">
        <v>1</v>
      </c>
      <c r="F130">
        <v>1</v>
      </c>
      <c r="G130">
        <v>1</v>
      </c>
      <c r="H130">
        <v>1</v>
      </c>
      <c r="I130">
        <v>1</v>
      </c>
      <c r="J130">
        <v>1</v>
      </c>
    </row>
    <row r="131" spans="1:19">
      <c r="A131" s="3" t="s">
        <v>715</v>
      </c>
      <c r="B131" s="23" t="s">
        <v>120</v>
      </c>
      <c r="C131" s="23"/>
      <c r="D131" s="23"/>
      <c r="E131" s="63">
        <f t="shared" ref="E131:J131" si="68">SUBTOTAL(9,E132:E132)</f>
        <v>1</v>
      </c>
      <c r="F131" s="63">
        <f t="shared" si="68"/>
        <v>1</v>
      </c>
      <c r="G131" s="63">
        <f t="shared" si="68"/>
        <v>1</v>
      </c>
      <c r="H131" s="63">
        <f t="shared" si="68"/>
        <v>1</v>
      </c>
      <c r="I131" s="63">
        <f t="shared" si="68"/>
        <v>1</v>
      </c>
      <c r="J131" s="63">
        <f t="shared" si="68"/>
        <v>1</v>
      </c>
      <c r="K131"/>
      <c r="L131"/>
      <c r="M131"/>
      <c r="N131"/>
      <c r="O131" s="63">
        <f>SUBTOTAL(9,O132:O132)</f>
        <v>3</v>
      </c>
      <c r="P131" s="63">
        <f>SUBTOTAL(9,P132:P132)</f>
        <v>3</v>
      </c>
      <c r="Q131" s="63">
        <f>SUBTOTAL(9,Q132:Q132)</f>
        <v>2</v>
      </c>
      <c r="R131" s="63">
        <f>SUBTOTAL(9,R132:R132)</f>
        <v>4</v>
      </c>
      <c r="S131" s="63">
        <f>SUBTOTAL(9,S132:S132)</f>
        <v>2</v>
      </c>
    </row>
    <row r="132" spans="1:19">
      <c r="A132" s="3" t="s">
        <v>717</v>
      </c>
      <c r="B132" t="s">
        <v>130</v>
      </c>
      <c r="C132"/>
      <c r="D132"/>
      <c r="E132">
        <v>1</v>
      </c>
      <c r="F132">
        <v>1</v>
      </c>
      <c r="G132">
        <v>1</v>
      </c>
      <c r="H132">
        <v>1</v>
      </c>
      <c r="I132">
        <v>1</v>
      </c>
      <c r="J132">
        <v>1</v>
      </c>
      <c r="O132" s="5">
        <v>3</v>
      </c>
      <c r="P132" s="5">
        <v>3</v>
      </c>
      <c r="Q132" s="5">
        <v>2</v>
      </c>
      <c r="R132" s="5">
        <v>4</v>
      </c>
      <c r="S132" s="5">
        <v>2</v>
      </c>
    </row>
    <row r="133" spans="1:19">
      <c r="A133" s="3" t="s">
        <v>718</v>
      </c>
      <c r="B133" s="23" t="s">
        <v>121</v>
      </c>
      <c r="C133" s="23"/>
      <c r="D133" s="23"/>
      <c r="E133" s="63">
        <f t="shared" ref="E133:J133" si="69">SUBTOTAL(9,E134:E138)</f>
        <v>88</v>
      </c>
      <c r="F133" s="63">
        <f t="shared" si="69"/>
        <v>88</v>
      </c>
      <c r="G133" s="63">
        <f t="shared" si="69"/>
        <v>83.5</v>
      </c>
      <c r="H133" s="63">
        <f t="shared" si="69"/>
        <v>80.7</v>
      </c>
      <c r="I133" s="63">
        <f t="shared" si="69"/>
        <v>70.099999999999994</v>
      </c>
      <c r="J133" s="63">
        <f t="shared" si="69"/>
        <v>67.099999999999994</v>
      </c>
      <c r="K133"/>
      <c r="L133"/>
      <c r="M133"/>
      <c r="N133"/>
      <c r="O133" s="63">
        <f>SUBTOTAL(9,O134:O138)</f>
        <v>57.3</v>
      </c>
      <c r="P133" s="63">
        <f>SUBTOTAL(9,P134:P138)</f>
        <v>49.3</v>
      </c>
      <c r="Q133" s="63">
        <f>SUBTOTAL(9,Q134:Q138)</f>
        <v>36.6</v>
      </c>
      <c r="R133" s="63">
        <f>SUBTOTAL(9,R134:R138)</f>
        <v>36</v>
      </c>
      <c r="S133" s="63">
        <f>SUBTOTAL(9,S134:S138)</f>
        <v>37.799999999999997</v>
      </c>
    </row>
    <row r="134" spans="1:19">
      <c r="A134" s="3" t="s">
        <v>722</v>
      </c>
      <c r="B134" t="s">
        <v>139</v>
      </c>
      <c r="C134"/>
      <c r="D134"/>
      <c r="E134">
        <v>9</v>
      </c>
      <c r="F134">
        <v>9</v>
      </c>
      <c r="G134">
        <v>8</v>
      </c>
      <c r="H134">
        <v>8</v>
      </c>
      <c r="I134">
        <v>8</v>
      </c>
      <c r="J134">
        <v>4</v>
      </c>
    </row>
    <row r="135" spans="1:19">
      <c r="A135" s="3" t="s">
        <v>726</v>
      </c>
      <c r="B135" t="s">
        <v>140</v>
      </c>
      <c r="C135"/>
      <c r="D135"/>
      <c r="E135">
        <v>4</v>
      </c>
      <c r="F135">
        <v>4</v>
      </c>
      <c r="G135">
        <v>4.5</v>
      </c>
      <c r="H135">
        <v>2.7</v>
      </c>
      <c r="I135">
        <v>2.6</v>
      </c>
      <c r="J135">
        <v>2.6</v>
      </c>
    </row>
    <row r="136" spans="1:19">
      <c r="A136" s="3" t="s">
        <v>727</v>
      </c>
      <c r="B136" t="s">
        <v>141</v>
      </c>
      <c r="C136"/>
      <c r="D136"/>
      <c r="E136">
        <v>22</v>
      </c>
      <c r="F136">
        <v>22</v>
      </c>
      <c r="G136">
        <v>22</v>
      </c>
      <c r="H136">
        <v>19</v>
      </c>
      <c r="I136">
        <v>16</v>
      </c>
      <c r="J136">
        <v>15</v>
      </c>
      <c r="O136" s="5">
        <v>17.8</v>
      </c>
      <c r="P136" s="5">
        <v>19.8</v>
      </c>
      <c r="Q136" s="5">
        <v>7.8</v>
      </c>
      <c r="R136" s="5">
        <v>6</v>
      </c>
      <c r="S136" s="5">
        <v>10</v>
      </c>
    </row>
    <row r="137" spans="1:19">
      <c r="A137" s="3" t="s">
        <v>728</v>
      </c>
      <c r="B137" t="s">
        <v>131</v>
      </c>
      <c r="C137"/>
      <c r="D137"/>
      <c r="E137">
        <v>31</v>
      </c>
      <c r="F137">
        <v>32</v>
      </c>
      <c r="G137">
        <v>28</v>
      </c>
      <c r="H137">
        <v>30</v>
      </c>
      <c r="I137">
        <v>25.5</v>
      </c>
      <c r="J137">
        <v>27.5</v>
      </c>
      <c r="O137" s="5">
        <v>21.5</v>
      </c>
      <c r="P137" s="5">
        <v>18.5</v>
      </c>
      <c r="Q137" s="5">
        <v>21.8</v>
      </c>
      <c r="R137" s="5">
        <v>23</v>
      </c>
      <c r="S137" s="5">
        <v>12.8</v>
      </c>
    </row>
    <row r="138" spans="1:19">
      <c r="A138" s="3" t="s">
        <v>729</v>
      </c>
      <c r="B138" t="s">
        <v>142</v>
      </c>
      <c r="C138"/>
      <c r="D138"/>
      <c r="E138">
        <v>22</v>
      </c>
      <c r="F138">
        <v>21</v>
      </c>
      <c r="G138">
        <v>21</v>
      </c>
      <c r="H138">
        <v>21</v>
      </c>
      <c r="I138">
        <v>18</v>
      </c>
      <c r="J138">
        <v>18</v>
      </c>
      <c r="O138" s="5">
        <v>18</v>
      </c>
      <c r="P138" s="5">
        <v>11</v>
      </c>
      <c r="Q138" s="5">
        <v>7</v>
      </c>
      <c r="R138" s="5">
        <v>7</v>
      </c>
      <c r="S138" s="5">
        <v>15</v>
      </c>
    </row>
    <row r="139" spans="1:19">
      <c r="A139" s="3" t="s">
        <v>730</v>
      </c>
      <c r="B139" s="23" t="s">
        <v>122</v>
      </c>
      <c r="C139" s="23"/>
      <c r="D139" s="23"/>
      <c r="E139" s="63">
        <f t="shared" ref="E139:J139" si="70">SUBTOTAL(9,E140:E141)</f>
        <v>21</v>
      </c>
      <c r="F139" s="63">
        <f t="shared" si="70"/>
        <v>22.5</v>
      </c>
      <c r="G139" s="63">
        <f t="shared" si="70"/>
        <v>19.5</v>
      </c>
      <c r="H139" s="63">
        <f t="shared" si="70"/>
        <v>19.5</v>
      </c>
      <c r="I139" s="63">
        <f t="shared" si="70"/>
        <v>20.5</v>
      </c>
      <c r="J139" s="63">
        <f t="shared" si="70"/>
        <v>21.5</v>
      </c>
      <c r="K139"/>
      <c r="L139"/>
      <c r="M139"/>
      <c r="N139"/>
      <c r="O139" s="63">
        <f>SUBTOTAL(9,O140:O141)</f>
        <v>18.5</v>
      </c>
      <c r="P139" s="63">
        <f>SUBTOTAL(9,P140:P141)</f>
        <v>21.5</v>
      </c>
      <c r="Q139" s="63">
        <f>SUBTOTAL(9,Q140:Q141)</f>
        <v>18.5</v>
      </c>
      <c r="R139" s="63">
        <f>SUBTOTAL(9,R140:R141)</f>
        <v>22</v>
      </c>
      <c r="S139" s="63">
        <f>SUBTOTAL(9,S140:S141)</f>
        <v>18</v>
      </c>
    </row>
    <row r="140" spans="1:19">
      <c r="A140" s="3" t="s">
        <v>731</v>
      </c>
      <c r="B140" t="s">
        <v>132</v>
      </c>
      <c r="C140"/>
      <c r="D140"/>
      <c r="E140">
        <v>21</v>
      </c>
      <c r="F140">
        <v>22.5</v>
      </c>
      <c r="G140">
        <v>19.5</v>
      </c>
      <c r="H140">
        <v>19.5</v>
      </c>
      <c r="I140">
        <v>20.5</v>
      </c>
      <c r="J140">
        <v>21.5</v>
      </c>
      <c r="O140" s="5">
        <v>17.5</v>
      </c>
      <c r="P140" s="5">
        <v>20.5</v>
      </c>
      <c r="Q140" s="5">
        <v>17.5</v>
      </c>
      <c r="R140" s="5">
        <v>21</v>
      </c>
      <c r="S140" s="5">
        <v>17</v>
      </c>
    </row>
    <row r="141" spans="1:19">
      <c r="A141" s="3"/>
      <c r="B141" s="24" t="s">
        <v>11</v>
      </c>
      <c r="C141" s="24"/>
      <c r="D141" s="24"/>
      <c r="F141"/>
      <c r="G141"/>
      <c r="H141"/>
      <c r="I141"/>
      <c r="J141"/>
      <c r="O141" s="5">
        <v>1</v>
      </c>
      <c r="P141" s="5">
        <v>1</v>
      </c>
      <c r="Q141" s="5">
        <v>1</v>
      </c>
      <c r="R141" s="5">
        <v>1</v>
      </c>
      <c r="S141" s="5">
        <v>1</v>
      </c>
    </row>
    <row r="142" spans="1:19">
      <c r="A142" s="3" t="s">
        <v>735</v>
      </c>
      <c r="B142" s="23" t="s">
        <v>124</v>
      </c>
      <c r="C142" s="23"/>
      <c r="D142" s="23"/>
      <c r="E142" s="63">
        <f t="shared" ref="E142:J142" si="71">SUBTOTAL(9,E143:E155)</f>
        <v>267.89999999999998</v>
      </c>
      <c r="F142" s="63">
        <f t="shared" si="71"/>
        <v>277.10000000000002</v>
      </c>
      <c r="G142" s="63">
        <f t="shared" si="71"/>
        <v>300.60000000000002</v>
      </c>
      <c r="H142" s="63">
        <f t="shared" si="71"/>
        <v>289.89999999999998</v>
      </c>
      <c r="I142" s="63">
        <f t="shared" si="71"/>
        <v>337.4</v>
      </c>
      <c r="J142" s="63">
        <f t="shared" si="71"/>
        <v>310.90000000000003</v>
      </c>
      <c r="K142"/>
      <c r="L142"/>
      <c r="M142"/>
      <c r="N142"/>
      <c r="O142" s="63">
        <f>SUBTOTAL(9,O143:O155)</f>
        <v>221</v>
      </c>
      <c r="P142" s="63">
        <f>SUBTOTAL(9,P143:P155)</f>
        <v>231.5</v>
      </c>
      <c r="Q142" s="63">
        <f>SUBTOTAL(9,Q143:Q155)</f>
        <v>183.1</v>
      </c>
      <c r="R142" s="63">
        <f>SUBTOTAL(9,R143:R155)</f>
        <v>152.09999999999997</v>
      </c>
      <c r="S142" s="63">
        <f>SUBTOTAL(9,S143:S155)</f>
        <v>124.1</v>
      </c>
    </row>
    <row r="143" spans="1:19">
      <c r="A143" s="3" t="s">
        <v>737</v>
      </c>
      <c r="B143" s="24" t="s">
        <v>159</v>
      </c>
      <c r="C143" s="24"/>
      <c r="D143" s="24"/>
      <c r="E143">
        <v>0</v>
      </c>
      <c r="F143">
        <v>0</v>
      </c>
      <c r="G143">
        <v>0</v>
      </c>
      <c r="H143">
        <v>0</v>
      </c>
      <c r="I143">
        <v>1</v>
      </c>
      <c r="J143">
        <v>3</v>
      </c>
      <c r="O143" s="5">
        <v>0</v>
      </c>
      <c r="P143" s="5">
        <v>0</v>
      </c>
      <c r="Q143" s="5">
        <v>0</v>
      </c>
      <c r="R143" s="5">
        <v>1</v>
      </c>
      <c r="S143" s="5">
        <v>0</v>
      </c>
    </row>
    <row r="144" spans="1:19">
      <c r="A144" s="3" t="s">
        <v>739</v>
      </c>
      <c r="B144" t="s">
        <v>143</v>
      </c>
      <c r="C144"/>
      <c r="D144"/>
      <c r="E144">
        <v>0</v>
      </c>
      <c r="F144">
        <v>2</v>
      </c>
      <c r="G144">
        <v>2</v>
      </c>
      <c r="H144">
        <v>0</v>
      </c>
      <c r="I144">
        <v>0</v>
      </c>
      <c r="J144">
        <v>1</v>
      </c>
    </row>
    <row r="145" spans="1:19">
      <c r="A145" s="3" t="s">
        <v>740</v>
      </c>
      <c r="B145" t="s">
        <v>144</v>
      </c>
      <c r="C145"/>
      <c r="D145"/>
      <c r="E145">
        <v>0</v>
      </c>
      <c r="F145">
        <v>0</v>
      </c>
      <c r="G145">
        <v>0.5</v>
      </c>
      <c r="H145">
        <v>0</v>
      </c>
      <c r="I145">
        <v>1</v>
      </c>
      <c r="J145">
        <v>1</v>
      </c>
      <c r="O145" s="5">
        <v>1</v>
      </c>
      <c r="P145" s="5">
        <v>1</v>
      </c>
      <c r="Q145" s="5">
        <v>2</v>
      </c>
      <c r="R145" s="5">
        <v>2</v>
      </c>
      <c r="S145" s="5">
        <v>2</v>
      </c>
    </row>
    <row r="146" spans="1:19">
      <c r="A146" s="3" t="s">
        <v>741</v>
      </c>
      <c r="B146" t="s">
        <v>145</v>
      </c>
      <c r="C146"/>
      <c r="D146"/>
      <c r="E146">
        <v>1.2</v>
      </c>
      <c r="F146">
        <v>1.2</v>
      </c>
      <c r="G146">
        <v>1.2</v>
      </c>
      <c r="H146">
        <v>2</v>
      </c>
      <c r="I146">
        <v>2</v>
      </c>
      <c r="J146">
        <v>2</v>
      </c>
      <c r="O146" s="5">
        <v>1</v>
      </c>
      <c r="P146" s="5">
        <v>1.3</v>
      </c>
      <c r="Q146" s="5">
        <v>0</v>
      </c>
      <c r="R146" s="5">
        <v>0</v>
      </c>
      <c r="S146" s="5">
        <v>0.6</v>
      </c>
    </row>
    <row r="147" spans="1:19">
      <c r="A147" s="3" t="s">
        <v>788</v>
      </c>
      <c r="B147" t="s">
        <v>146</v>
      </c>
      <c r="C147"/>
      <c r="D147"/>
      <c r="E147" s="140">
        <v>103.6</v>
      </c>
      <c r="F147" s="140">
        <v>108.6</v>
      </c>
      <c r="G147" s="140">
        <v>132.4</v>
      </c>
      <c r="H147">
        <v>134.4</v>
      </c>
      <c r="I147">
        <v>195.9</v>
      </c>
      <c r="J147">
        <v>163.19999999999999</v>
      </c>
      <c r="O147" s="5">
        <v>105.3</v>
      </c>
      <c r="P147" s="5">
        <v>110.8</v>
      </c>
      <c r="Q147" s="5">
        <v>105</v>
      </c>
      <c r="R147" s="5">
        <v>85.6</v>
      </c>
      <c r="S147" s="5">
        <v>73.7</v>
      </c>
    </row>
    <row r="148" spans="1:19">
      <c r="A148" s="3" t="s">
        <v>789</v>
      </c>
      <c r="B148" t="s">
        <v>147</v>
      </c>
      <c r="C148"/>
      <c r="D148"/>
      <c r="E148" s="140">
        <v>0.2</v>
      </c>
      <c r="F148" s="140">
        <v>1.4</v>
      </c>
      <c r="G148" s="140">
        <v>2</v>
      </c>
      <c r="H148">
        <v>2.5</v>
      </c>
      <c r="I148"/>
      <c r="J148"/>
    </row>
    <row r="149" spans="1:19">
      <c r="A149" s="3" t="s">
        <v>790</v>
      </c>
      <c r="B149" t="s">
        <v>148</v>
      </c>
      <c r="C149"/>
      <c r="D149"/>
      <c r="E149" s="141">
        <v>97</v>
      </c>
      <c r="F149" s="141">
        <v>94</v>
      </c>
      <c r="G149" s="141">
        <v>91</v>
      </c>
      <c r="H149">
        <v>84</v>
      </c>
      <c r="I149">
        <v>79</v>
      </c>
      <c r="J149">
        <v>78</v>
      </c>
      <c r="O149" s="5">
        <v>66.7</v>
      </c>
      <c r="P149" s="5">
        <v>74.2</v>
      </c>
      <c r="Q149" s="5">
        <v>26.9</v>
      </c>
      <c r="R149" s="5">
        <v>27.8</v>
      </c>
      <c r="S149" s="5">
        <v>29.7</v>
      </c>
    </row>
    <row r="150" spans="1:19">
      <c r="A150" s="3" t="s">
        <v>748</v>
      </c>
      <c r="B150" t="s">
        <v>149</v>
      </c>
      <c r="C150"/>
      <c r="D150"/>
      <c r="E150" s="140">
        <v>46.9</v>
      </c>
      <c r="F150" s="140">
        <v>46.9</v>
      </c>
      <c r="G150" s="140">
        <v>48.5</v>
      </c>
      <c r="H150">
        <v>44</v>
      </c>
      <c r="I150">
        <v>34.5</v>
      </c>
      <c r="J150">
        <v>38.6</v>
      </c>
      <c r="O150" s="5">
        <v>22.5</v>
      </c>
      <c r="P150" s="5">
        <v>18.5</v>
      </c>
      <c r="Q150" s="5">
        <v>24.5</v>
      </c>
      <c r="R150" s="5">
        <v>16</v>
      </c>
      <c r="S150" s="5">
        <v>0</v>
      </c>
    </row>
    <row r="151" spans="1:19">
      <c r="A151" s="3" t="s">
        <v>749</v>
      </c>
      <c r="B151" t="s">
        <v>150</v>
      </c>
      <c r="C151"/>
      <c r="D151"/>
      <c r="E151" s="140">
        <v>1</v>
      </c>
      <c r="F151" s="140">
        <v>1</v>
      </c>
      <c r="G151" s="140">
        <v>1</v>
      </c>
      <c r="H151">
        <v>1</v>
      </c>
      <c r="I151"/>
      <c r="J151"/>
      <c r="O151" s="5">
        <v>1</v>
      </c>
      <c r="P151" s="5">
        <v>1</v>
      </c>
      <c r="Q151" s="5">
        <v>2</v>
      </c>
      <c r="R151" s="5">
        <v>1</v>
      </c>
      <c r="S151" s="5">
        <v>1</v>
      </c>
    </row>
    <row r="152" spans="1:19">
      <c r="A152" s="3" t="s">
        <v>750</v>
      </c>
      <c r="B152" t="s">
        <v>151</v>
      </c>
      <c r="C152"/>
      <c r="D152"/>
      <c r="E152" s="140">
        <v>0</v>
      </c>
      <c r="F152" s="140">
        <v>1</v>
      </c>
      <c r="G152" s="140">
        <v>1</v>
      </c>
      <c r="H152">
        <v>1</v>
      </c>
      <c r="I152">
        <v>2</v>
      </c>
      <c r="J152"/>
    </row>
    <row r="153" spans="1:19">
      <c r="A153" s="3" t="s">
        <v>756</v>
      </c>
      <c r="B153" t="s">
        <v>152</v>
      </c>
      <c r="C153"/>
      <c r="D153"/>
      <c r="E153" s="141">
        <v>17</v>
      </c>
      <c r="F153" s="141">
        <v>20</v>
      </c>
      <c r="G153" s="141">
        <v>20</v>
      </c>
      <c r="H153">
        <v>20</v>
      </c>
      <c r="I153">
        <v>21</v>
      </c>
      <c r="J153">
        <v>23.1</v>
      </c>
      <c r="O153" s="5">
        <v>20</v>
      </c>
      <c r="P153" s="5">
        <v>19.7</v>
      </c>
      <c r="Q153" s="5">
        <v>18.7</v>
      </c>
      <c r="R153" s="5">
        <v>18.7</v>
      </c>
      <c r="S153" s="5">
        <v>16.100000000000001</v>
      </c>
    </row>
    <row r="154" spans="1:19">
      <c r="A154" s="3" t="s">
        <v>757</v>
      </c>
      <c r="B154" t="s">
        <v>153</v>
      </c>
      <c r="C154"/>
      <c r="D154"/>
      <c r="E154" s="140">
        <v>1</v>
      </c>
      <c r="F154" s="140">
        <v>1</v>
      </c>
      <c r="G154" s="140">
        <v>1</v>
      </c>
      <c r="H154">
        <v>1</v>
      </c>
      <c r="I154">
        <v>1</v>
      </c>
      <c r="J154">
        <v>1</v>
      </c>
      <c r="O154" s="5">
        <v>0</v>
      </c>
      <c r="P154" s="5">
        <v>0</v>
      </c>
      <c r="Q154" s="5">
        <v>0</v>
      </c>
      <c r="R154" s="5">
        <v>0</v>
      </c>
      <c r="S154" s="5">
        <v>1</v>
      </c>
    </row>
    <row r="155" spans="1:19">
      <c r="A155" s="3"/>
      <c r="B155" t="s">
        <v>654</v>
      </c>
      <c r="C155"/>
      <c r="D155"/>
      <c r="E155"/>
      <c r="F155"/>
      <c r="G155"/>
      <c r="H155"/>
      <c r="I155"/>
      <c r="J155"/>
      <c r="O155" s="5">
        <v>3.5</v>
      </c>
      <c r="P155" s="5">
        <v>5</v>
      </c>
      <c r="Q155" s="5">
        <v>4</v>
      </c>
      <c r="R155" s="5">
        <v>0</v>
      </c>
      <c r="S155" s="5">
        <v>0</v>
      </c>
    </row>
    <row r="156" spans="1:19">
      <c r="A156" s="3" t="s">
        <v>760</v>
      </c>
      <c r="B156" s="23" t="s">
        <v>125</v>
      </c>
      <c r="C156" s="23"/>
      <c r="D156" s="23"/>
      <c r="E156" s="63">
        <f t="shared" ref="E156:J156" si="72">SUBTOTAL(9,E157:E159)</f>
        <v>105.5</v>
      </c>
      <c r="F156" s="63">
        <f t="shared" si="72"/>
        <v>101.3</v>
      </c>
      <c r="G156" s="63">
        <f t="shared" si="72"/>
        <v>93.5</v>
      </c>
      <c r="H156" s="63">
        <f t="shared" si="72"/>
        <v>85.6</v>
      </c>
      <c r="I156" s="63">
        <f t="shared" si="72"/>
        <v>81</v>
      </c>
      <c r="J156" s="63">
        <f t="shared" si="72"/>
        <v>79</v>
      </c>
      <c r="K156"/>
      <c r="L156"/>
      <c r="M156"/>
      <c r="N156"/>
      <c r="O156" s="63">
        <f>SUBTOTAL(9,O157:O159)</f>
        <v>69.5</v>
      </c>
      <c r="P156" s="63">
        <f>SUBTOTAL(9,P157:P159)</f>
        <v>72.5</v>
      </c>
      <c r="Q156" s="63">
        <f>SUBTOTAL(9,Q157:Q159)</f>
        <v>37</v>
      </c>
      <c r="R156" s="63">
        <f>SUBTOTAL(9,R157:R159)</f>
        <v>29.5</v>
      </c>
      <c r="S156" s="63">
        <f>SUBTOTAL(9,S157:S159)</f>
        <v>20.3</v>
      </c>
    </row>
    <row r="157" spans="1:19">
      <c r="A157" s="3" t="s">
        <v>763</v>
      </c>
      <c r="B157" t="s">
        <v>154</v>
      </c>
      <c r="C157"/>
      <c r="D157"/>
      <c r="E157" s="140">
        <v>2.5</v>
      </c>
      <c r="F157" s="140">
        <v>2.2999999999999998</v>
      </c>
      <c r="G157" s="140">
        <v>0.5</v>
      </c>
      <c r="H157"/>
      <c r="I157"/>
      <c r="J157"/>
    </row>
    <row r="158" spans="1:19">
      <c r="A158" s="3" t="s">
        <v>765</v>
      </c>
      <c r="B158" t="s">
        <v>155</v>
      </c>
      <c r="C158"/>
      <c r="D158"/>
      <c r="E158" s="142">
        <v>103</v>
      </c>
      <c r="F158" s="141">
        <v>99</v>
      </c>
      <c r="G158" s="141">
        <v>93</v>
      </c>
      <c r="H158">
        <v>85</v>
      </c>
      <c r="I158">
        <v>78</v>
      </c>
      <c r="J158">
        <v>78</v>
      </c>
      <c r="O158" s="5">
        <v>66</v>
      </c>
      <c r="P158" s="5">
        <v>67.5</v>
      </c>
      <c r="Q158" s="5">
        <v>31.5</v>
      </c>
      <c r="R158" s="5">
        <v>29.5</v>
      </c>
      <c r="S158" s="5">
        <v>20.3</v>
      </c>
    </row>
    <row r="159" spans="1:19">
      <c r="A159" s="3" t="s">
        <v>791</v>
      </c>
      <c r="B159" t="s">
        <v>156</v>
      </c>
      <c r="C159"/>
      <c r="D159"/>
      <c r="E159" s="140">
        <v>0</v>
      </c>
      <c r="F159" s="140">
        <v>0</v>
      </c>
      <c r="G159" s="140">
        <v>0</v>
      </c>
      <c r="H159">
        <v>0.6</v>
      </c>
      <c r="I159">
        <v>3</v>
      </c>
      <c r="J159">
        <v>1</v>
      </c>
      <c r="O159" s="5">
        <v>3.5</v>
      </c>
      <c r="P159" s="5">
        <v>5</v>
      </c>
      <c r="Q159" s="5">
        <v>5.5</v>
      </c>
      <c r="R159" s="5">
        <v>0</v>
      </c>
      <c r="S159" s="5">
        <v>0</v>
      </c>
    </row>
    <row r="160" spans="1:19">
      <c r="A160" s="3" t="s">
        <v>770</v>
      </c>
      <c r="B160" s="23" t="s">
        <v>126</v>
      </c>
      <c r="C160" s="23"/>
      <c r="D160" s="23"/>
      <c r="E160" s="63">
        <f t="shared" ref="E160:J160" si="73">SUBTOTAL(9,E161:E163)</f>
        <v>26</v>
      </c>
      <c r="F160" s="63">
        <f t="shared" si="73"/>
        <v>27.5</v>
      </c>
      <c r="G160" s="63">
        <f t="shared" si="73"/>
        <v>28</v>
      </c>
      <c r="H160" s="63">
        <f t="shared" si="73"/>
        <v>27.8</v>
      </c>
      <c r="I160" s="63">
        <f t="shared" si="73"/>
        <v>30.3</v>
      </c>
      <c r="J160" s="63">
        <f t="shared" si="73"/>
        <v>32.799999999999997</v>
      </c>
      <c r="K160"/>
      <c r="L160"/>
      <c r="M160"/>
      <c r="N160"/>
      <c r="O160" s="63">
        <f>SUBTOTAL(9,O161:O163)</f>
        <v>33.5</v>
      </c>
      <c r="P160" s="63">
        <f>SUBTOTAL(9,P161:P163)</f>
        <v>39</v>
      </c>
      <c r="Q160" s="63">
        <f>SUBTOTAL(9,Q161:Q163)</f>
        <v>22.5</v>
      </c>
      <c r="R160" s="63">
        <f>SUBTOTAL(9,R161:R163)</f>
        <v>21</v>
      </c>
      <c r="S160" s="63">
        <f>SUBTOTAL(9,S161:S163)</f>
        <v>15</v>
      </c>
    </row>
    <row r="161" spans="1:19">
      <c r="A161" s="3" t="s">
        <v>774</v>
      </c>
      <c r="B161" s="24" t="s">
        <v>655</v>
      </c>
      <c r="C161" s="24"/>
      <c r="D161" s="24"/>
      <c r="E161" s="140">
        <v>1</v>
      </c>
      <c r="F161" s="140">
        <v>1</v>
      </c>
      <c r="G161" s="140">
        <v>1</v>
      </c>
      <c r="H161">
        <v>1</v>
      </c>
      <c r="I161">
        <v>1</v>
      </c>
      <c r="J161">
        <v>2</v>
      </c>
      <c r="O161" s="5">
        <v>1</v>
      </c>
      <c r="P161" s="5">
        <v>1</v>
      </c>
      <c r="Q161" s="5">
        <v>1</v>
      </c>
      <c r="R161" s="5">
        <v>1</v>
      </c>
      <c r="S161" s="5">
        <v>1</v>
      </c>
    </row>
    <row r="162" spans="1:19">
      <c r="A162" s="3" t="s">
        <v>775</v>
      </c>
      <c r="B162" s="24" t="s">
        <v>656</v>
      </c>
      <c r="C162" s="24"/>
      <c r="D162" s="24"/>
      <c r="E162" s="140">
        <v>21.5</v>
      </c>
      <c r="F162" s="141">
        <v>22</v>
      </c>
      <c r="G162" s="140">
        <v>23.5</v>
      </c>
      <c r="H162">
        <v>23.3</v>
      </c>
      <c r="I162">
        <v>25.8</v>
      </c>
      <c r="J162">
        <v>27.3</v>
      </c>
      <c r="O162" s="5">
        <v>30.5</v>
      </c>
      <c r="P162" s="5">
        <v>33</v>
      </c>
      <c r="Q162" s="5">
        <v>18.5</v>
      </c>
      <c r="R162" s="5">
        <v>18</v>
      </c>
      <c r="S162" s="5">
        <v>13</v>
      </c>
    </row>
    <row r="163" spans="1:19">
      <c r="A163" s="3" t="s">
        <v>776</v>
      </c>
      <c r="B163" t="s">
        <v>134</v>
      </c>
      <c r="C163"/>
      <c r="D163"/>
      <c r="E163" s="140">
        <v>3.5</v>
      </c>
      <c r="F163" s="140">
        <v>4.5</v>
      </c>
      <c r="G163" s="140">
        <v>3.5</v>
      </c>
      <c r="H163">
        <v>3.5</v>
      </c>
      <c r="I163">
        <v>3.5</v>
      </c>
      <c r="J163">
        <v>3.5</v>
      </c>
      <c r="O163" s="5">
        <v>2</v>
      </c>
      <c r="P163" s="5">
        <v>5</v>
      </c>
      <c r="Q163" s="5">
        <v>3</v>
      </c>
      <c r="R163" s="5">
        <v>2</v>
      </c>
      <c r="S163" s="5">
        <v>1</v>
      </c>
    </row>
    <row r="164" spans="1:19">
      <c r="A164" s="3" t="s">
        <v>786</v>
      </c>
      <c r="B164"/>
      <c r="C164"/>
      <c r="D164"/>
      <c r="F164"/>
      <c r="G164"/>
      <c r="H164"/>
      <c r="I164"/>
      <c r="J164"/>
    </row>
    <row r="165" spans="1:19" ht="15.75">
      <c r="A165" s="3" t="s">
        <v>792</v>
      </c>
      <c r="B165" s="25" t="s">
        <v>157</v>
      </c>
      <c r="C165" s="25"/>
      <c r="D165" s="25"/>
      <c r="E165" s="66">
        <f t="shared" ref="E165:J165" si="74">SUBTOTAL(9,E166:E183)</f>
        <v>38.5</v>
      </c>
      <c r="F165" s="66">
        <f t="shared" si="74"/>
        <v>38.5</v>
      </c>
      <c r="G165" s="66">
        <f t="shared" si="74"/>
        <v>38.5</v>
      </c>
      <c r="H165" s="66">
        <f t="shared" si="74"/>
        <v>58.5</v>
      </c>
      <c r="I165" s="66">
        <f t="shared" si="74"/>
        <v>59.5</v>
      </c>
      <c r="J165" s="66">
        <f t="shared" si="74"/>
        <v>66.5</v>
      </c>
      <c r="O165" s="66">
        <f>SUBTOTAL(9,O166:O183)</f>
        <v>95.800000000000011</v>
      </c>
      <c r="P165" s="66">
        <f>SUBTOTAL(9,P166:P183)</f>
        <v>92.300000000000011</v>
      </c>
      <c r="Q165" s="66">
        <f>SUBTOTAL(9,Q166:Q183)</f>
        <v>90.300000000000011</v>
      </c>
      <c r="R165" s="66">
        <f>SUBTOTAL(9,R166:R183)</f>
        <v>86.300000000000011</v>
      </c>
      <c r="S165" s="66">
        <f>SUBTOTAL(9,S166:S183)</f>
        <v>85.7</v>
      </c>
    </row>
    <row r="166" spans="1:19">
      <c r="A166" s="3" t="s">
        <v>715</v>
      </c>
      <c r="B166" s="23" t="s">
        <v>120</v>
      </c>
      <c r="C166" s="23"/>
      <c r="D166" s="23"/>
      <c r="E166" s="63">
        <f t="shared" ref="E166:J166" si="75">SUBTOTAL(9,E167:E167)</f>
        <v>1</v>
      </c>
      <c r="F166" s="63">
        <f t="shared" si="75"/>
        <v>1</v>
      </c>
      <c r="G166" s="63">
        <f t="shared" si="75"/>
        <v>1</v>
      </c>
      <c r="H166" s="63">
        <f t="shared" si="75"/>
        <v>4</v>
      </c>
      <c r="I166" s="63">
        <f t="shared" si="75"/>
        <v>4</v>
      </c>
      <c r="J166" s="63">
        <f t="shared" si="75"/>
        <v>4</v>
      </c>
      <c r="K166"/>
      <c r="L166"/>
      <c r="M166"/>
      <c r="N166"/>
      <c r="O166" s="63">
        <f>SUBTOTAL(9,O167:O167)</f>
        <v>4</v>
      </c>
      <c r="P166" s="63">
        <f>SUBTOTAL(9,P167:P167)</f>
        <v>4</v>
      </c>
      <c r="Q166" s="63">
        <f>SUBTOTAL(9,Q167:Q167)</f>
        <v>4</v>
      </c>
      <c r="R166" s="63">
        <f>SUBTOTAL(9,R167:R167)</f>
        <v>4</v>
      </c>
      <c r="S166" s="63">
        <f>SUBTOTAL(9,S167:S167)</f>
        <v>4</v>
      </c>
    </row>
    <row r="167" spans="1:19">
      <c r="A167" s="3" t="s">
        <v>717</v>
      </c>
      <c r="B167" t="s">
        <v>130</v>
      </c>
      <c r="C167"/>
      <c r="D167"/>
      <c r="E167" s="5">
        <v>1</v>
      </c>
      <c r="F167">
        <v>1</v>
      </c>
      <c r="G167">
        <v>1</v>
      </c>
      <c r="H167">
        <v>4</v>
      </c>
      <c r="I167">
        <v>4</v>
      </c>
      <c r="J167">
        <v>4</v>
      </c>
      <c r="O167">
        <v>4</v>
      </c>
      <c r="P167">
        <v>4</v>
      </c>
      <c r="Q167">
        <v>4</v>
      </c>
      <c r="R167">
        <v>4</v>
      </c>
      <c r="S167">
        <v>4</v>
      </c>
    </row>
    <row r="168" spans="1:19">
      <c r="A168" s="3" t="s">
        <v>718</v>
      </c>
      <c r="B168" s="23" t="s">
        <v>121</v>
      </c>
      <c r="C168" s="23"/>
      <c r="D168" s="23"/>
      <c r="E168" s="63">
        <f t="shared" ref="E168:J168" si="76">SUBTOTAL(9,E169:E172)</f>
        <v>15</v>
      </c>
      <c r="F168" s="63">
        <f t="shared" si="76"/>
        <v>15</v>
      </c>
      <c r="G168" s="63">
        <f t="shared" si="76"/>
        <v>15</v>
      </c>
      <c r="H168" s="63">
        <f t="shared" si="76"/>
        <v>20</v>
      </c>
      <c r="I168" s="63">
        <f t="shared" si="76"/>
        <v>21</v>
      </c>
      <c r="J168" s="63">
        <f t="shared" si="76"/>
        <v>25.5</v>
      </c>
      <c r="K168"/>
      <c r="L168"/>
      <c r="M168"/>
      <c r="N168"/>
      <c r="O168" s="63">
        <f>SUBTOTAL(9,O169:O172)</f>
        <v>31.6</v>
      </c>
      <c r="P168" s="63">
        <f>SUBTOTAL(9,P169:P172)</f>
        <v>31.6</v>
      </c>
      <c r="Q168" s="63">
        <f>SUBTOTAL(9,Q169:Q172)</f>
        <v>28.6</v>
      </c>
      <c r="R168" s="63">
        <f>SUBTOTAL(9,R169:R172)</f>
        <v>28.6</v>
      </c>
      <c r="S168" s="63">
        <f>SUBTOTAL(9,S169:S172)</f>
        <v>27.7</v>
      </c>
    </row>
    <row r="169" spans="1:19">
      <c r="A169" s="3" t="s">
        <v>722</v>
      </c>
      <c r="B169" t="s">
        <v>158</v>
      </c>
      <c r="C169"/>
      <c r="D169"/>
      <c r="E169" s="5">
        <v>4</v>
      </c>
      <c r="F169">
        <v>4</v>
      </c>
      <c r="G169">
        <v>4</v>
      </c>
      <c r="H169"/>
      <c r="I169"/>
      <c r="J169"/>
      <c r="O169" s="5">
        <v>14.6</v>
      </c>
      <c r="P169" s="5">
        <v>14.6</v>
      </c>
      <c r="Q169" s="5">
        <v>14.6</v>
      </c>
      <c r="R169" s="5">
        <v>14.6</v>
      </c>
      <c r="S169" s="5">
        <v>14.7</v>
      </c>
    </row>
    <row r="170" spans="1:19">
      <c r="A170" s="3" t="s">
        <v>727</v>
      </c>
      <c r="B170" t="s">
        <v>141</v>
      </c>
      <c r="C170"/>
      <c r="D170"/>
      <c r="E170" s="5">
        <v>2</v>
      </c>
      <c r="F170">
        <v>2</v>
      </c>
      <c r="G170">
        <v>3</v>
      </c>
      <c r="H170">
        <v>2</v>
      </c>
      <c r="I170">
        <v>2</v>
      </c>
      <c r="J170">
        <v>2</v>
      </c>
      <c r="O170" s="5">
        <v>3</v>
      </c>
      <c r="P170" s="5">
        <v>3</v>
      </c>
      <c r="Q170" s="5">
        <v>2</v>
      </c>
      <c r="R170" s="5">
        <v>2</v>
      </c>
      <c r="S170" s="5">
        <v>2</v>
      </c>
    </row>
    <row r="171" spans="1:19">
      <c r="A171" s="3" t="s">
        <v>728</v>
      </c>
      <c r="B171" t="s">
        <v>131</v>
      </c>
      <c r="C171"/>
      <c r="D171"/>
      <c r="E171" s="5">
        <v>7</v>
      </c>
      <c r="F171">
        <v>7</v>
      </c>
      <c r="G171">
        <v>6</v>
      </c>
      <c r="H171">
        <v>15</v>
      </c>
      <c r="I171">
        <v>16</v>
      </c>
      <c r="J171">
        <v>19.5</v>
      </c>
      <c r="O171" s="5">
        <v>10</v>
      </c>
      <c r="P171" s="5">
        <v>10</v>
      </c>
      <c r="Q171" s="5">
        <v>5</v>
      </c>
      <c r="R171" s="5">
        <v>5</v>
      </c>
      <c r="S171" s="5">
        <v>5</v>
      </c>
    </row>
    <row r="172" spans="1:19">
      <c r="A172" s="3" t="s">
        <v>729</v>
      </c>
      <c r="B172" t="s">
        <v>142</v>
      </c>
      <c r="C172"/>
      <c r="D172"/>
      <c r="E172" s="5">
        <v>2</v>
      </c>
      <c r="F172">
        <v>2</v>
      </c>
      <c r="G172">
        <v>2</v>
      </c>
      <c r="H172">
        <v>3</v>
      </c>
      <c r="I172">
        <v>3</v>
      </c>
      <c r="J172">
        <v>4</v>
      </c>
      <c r="O172" s="5">
        <v>4</v>
      </c>
      <c r="P172" s="5">
        <v>4</v>
      </c>
      <c r="Q172" s="5">
        <v>7</v>
      </c>
      <c r="R172" s="5">
        <v>7</v>
      </c>
      <c r="S172" s="5">
        <v>6</v>
      </c>
    </row>
    <row r="173" spans="1:19">
      <c r="A173" s="3" t="s">
        <v>730</v>
      </c>
      <c r="B173" s="23" t="s">
        <v>122</v>
      </c>
      <c r="C173" s="23"/>
      <c r="D173" s="23"/>
      <c r="E173" s="63">
        <f t="shared" ref="E173:J173" si="77">SUBTOTAL(9,E174:E175)</f>
        <v>6</v>
      </c>
      <c r="F173" s="63">
        <f t="shared" si="77"/>
        <v>6</v>
      </c>
      <c r="G173" s="63">
        <f t="shared" si="77"/>
        <v>5</v>
      </c>
      <c r="H173" s="63">
        <f t="shared" si="77"/>
        <v>6</v>
      </c>
      <c r="I173" s="63">
        <f t="shared" si="77"/>
        <v>4</v>
      </c>
      <c r="J173" s="63">
        <f t="shared" si="77"/>
        <v>5</v>
      </c>
      <c r="K173"/>
      <c r="L173"/>
      <c r="M173"/>
      <c r="N173"/>
      <c r="O173" s="63">
        <f>SUBTOTAL(9,O174:O175)</f>
        <v>7.5</v>
      </c>
      <c r="P173" s="63">
        <f>SUBTOTAL(9,P174:P175)</f>
        <v>7.5</v>
      </c>
      <c r="Q173" s="63">
        <f>SUBTOTAL(9,Q174:Q175)</f>
        <v>8.5</v>
      </c>
      <c r="R173" s="63">
        <f>SUBTOTAL(9,R174:R175)</f>
        <v>5</v>
      </c>
      <c r="S173" s="63">
        <f>SUBTOTAL(9,S174:S175)</f>
        <v>5</v>
      </c>
    </row>
    <row r="174" spans="1:19">
      <c r="A174" s="3" t="s">
        <v>731</v>
      </c>
      <c r="B174" t="s">
        <v>132</v>
      </c>
      <c r="C174"/>
      <c r="D174"/>
      <c r="E174">
        <v>5</v>
      </c>
      <c r="F174">
        <v>5</v>
      </c>
      <c r="G174">
        <v>5</v>
      </c>
      <c r="H174">
        <v>6</v>
      </c>
      <c r="I174">
        <v>4</v>
      </c>
      <c r="J174">
        <v>5</v>
      </c>
      <c r="O174" s="5">
        <v>7.5</v>
      </c>
      <c r="P174" s="5">
        <v>7.5</v>
      </c>
      <c r="Q174" s="5">
        <v>8.5</v>
      </c>
      <c r="R174" s="5">
        <v>5</v>
      </c>
      <c r="S174" s="5">
        <v>5</v>
      </c>
    </row>
    <row r="175" spans="1:19">
      <c r="A175" s="3" t="s">
        <v>733</v>
      </c>
      <c r="B175" t="s">
        <v>160</v>
      </c>
      <c r="C175"/>
      <c r="D175"/>
      <c r="E175">
        <v>1</v>
      </c>
      <c r="F175">
        <v>1</v>
      </c>
      <c r="G175"/>
      <c r="H175"/>
      <c r="I175"/>
      <c r="J175"/>
    </row>
    <row r="176" spans="1:19">
      <c r="A176" s="3" t="s">
        <v>735</v>
      </c>
      <c r="B176" s="23" t="s">
        <v>124</v>
      </c>
      <c r="C176" s="23"/>
      <c r="D176" s="23"/>
      <c r="E176" s="63">
        <f t="shared" ref="E176:J176" si="78">SUBTOTAL(9,E177:E178)</f>
        <v>3.5</v>
      </c>
      <c r="F176" s="63">
        <f t="shared" si="78"/>
        <v>3.5</v>
      </c>
      <c r="G176" s="63">
        <f t="shared" si="78"/>
        <v>4.5</v>
      </c>
      <c r="H176" s="63">
        <f t="shared" si="78"/>
        <v>4</v>
      </c>
      <c r="I176" s="63">
        <f t="shared" si="78"/>
        <v>4</v>
      </c>
      <c r="J176" s="63">
        <f t="shared" si="78"/>
        <v>4</v>
      </c>
      <c r="K176"/>
      <c r="L176"/>
      <c r="M176"/>
      <c r="N176"/>
      <c r="O176" s="63">
        <f>SUBTOTAL(9,O177:O178)</f>
        <v>5</v>
      </c>
      <c r="P176" s="63">
        <f>SUBTOTAL(9,P177:P178)</f>
        <v>5</v>
      </c>
      <c r="Q176" s="63">
        <f>SUBTOTAL(9,Q177:Q178)</f>
        <v>5</v>
      </c>
      <c r="R176" s="63">
        <f>SUBTOTAL(9,R177:R178)</f>
        <v>5</v>
      </c>
      <c r="S176" s="63">
        <f>SUBTOTAL(9,S177:S178)</f>
        <v>5.3</v>
      </c>
    </row>
    <row r="177" spans="1:20">
      <c r="A177" s="3" t="s">
        <v>740</v>
      </c>
      <c r="B177" t="s">
        <v>161</v>
      </c>
      <c r="C177"/>
      <c r="D177"/>
      <c r="E177" s="5">
        <v>0</v>
      </c>
      <c r="F177">
        <v>0</v>
      </c>
      <c r="G177">
        <v>1</v>
      </c>
      <c r="H177"/>
      <c r="I177"/>
      <c r="J177"/>
    </row>
    <row r="178" spans="1:20">
      <c r="A178" s="3" t="s">
        <v>758</v>
      </c>
      <c r="B178" t="s">
        <v>162</v>
      </c>
      <c r="C178"/>
      <c r="D178"/>
      <c r="E178" s="5">
        <v>3.5</v>
      </c>
      <c r="F178">
        <v>3.5</v>
      </c>
      <c r="G178">
        <v>3.5</v>
      </c>
      <c r="H178">
        <v>4</v>
      </c>
      <c r="I178">
        <v>4</v>
      </c>
      <c r="J178">
        <v>4</v>
      </c>
      <c r="O178" s="5">
        <v>5</v>
      </c>
      <c r="P178" s="5">
        <v>5</v>
      </c>
      <c r="Q178" s="5">
        <v>5</v>
      </c>
      <c r="R178" s="5">
        <v>5</v>
      </c>
      <c r="S178" s="5">
        <v>5.3</v>
      </c>
    </row>
    <row r="179" spans="1:20">
      <c r="A179" s="3" t="s">
        <v>770</v>
      </c>
      <c r="B179" s="23" t="s">
        <v>126</v>
      </c>
      <c r="C179" s="23"/>
      <c r="D179" s="23"/>
      <c r="E179" s="63">
        <f t="shared" ref="E179:J179" si="79">SUBTOTAL(9,E180:E181)</f>
        <v>11</v>
      </c>
      <c r="F179" s="63">
        <f t="shared" si="79"/>
        <v>11</v>
      </c>
      <c r="G179" s="63">
        <f t="shared" si="79"/>
        <v>11</v>
      </c>
      <c r="H179" s="63">
        <f t="shared" si="79"/>
        <v>22.5</v>
      </c>
      <c r="I179" s="63">
        <f t="shared" si="79"/>
        <v>23.5</v>
      </c>
      <c r="J179" s="63">
        <f t="shared" si="79"/>
        <v>25</v>
      </c>
      <c r="K179"/>
      <c r="L179"/>
      <c r="M179"/>
      <c r="N179"/>
      <c r="O179" s="63">
        <f>SUBTOTAL(9,O180:O181)</f>
        <v>42.7</v>
      </c>
      <c r="P179" s="63">
        <f>SUBTOTAL(9,P180:P181)</f>
        <v>39.200000000000003</v>
      </c>
      <c r="Q179" s="63">
        <f>SUBTOTAL(9,Q180:Q181)</f>
        <v>39.200000000000003</v>
      </c>
      <c r="R179" s="63">
        <f>SUBTOTAL(9,R180:R181)</f>
        <v>41.7</v>
      </c>
      <c r="S179" s="63">
        <f>SUBTOTAL(9,S180:S181)</f>
        <v>41.7</v>
      </c>
    </row>
    <row r="180" spans="1:20">
      <c r="A180" s="3" t="s">
        <v>775</v>
      </c>
      <c r="B180" t="s">
        <v>133</v>
      </c>
      <c r="C180"/>
      <c r="D180"/>
      <c r="E180">
        <v>6</v>
      </c>
      <c r="F180">
        <v>6</v>
      </c>
      <c r="G180">
        <v>6</v>
      </c>
      <c r="H180">
        <v>18.5</v>
      </c>
      <c r="I180">
        <v>19.5</v>
      </c>
      <c r="J180">
        <v>21</v>
      </c>
      <c r="O180" s="5">
        <v>35.700000000000003</v>
      </c>
      <c r="P180" s="5">
        <v>32.200000000000003</v>
      </c>
      <c r="Q180" s="5">
        <v>32.200000000000003</v>
      </c>
      <c r="R180" s="5">
        <v>41.7</v>
      </c>
      <c r="S180" s="5">
        <v>41.7</v>
      </c>
    </row>
    <row r="181" spans="1:20">
      <c r="A181" s="3" t="s">
        <v>776</v>
      </c>
      <c r="B181" t="s">
        <v>134</v>
      </c>
      <c r="C181"/>
      <c r="D181"/>
      <c r="E181">
        <v>5</v>
      </c>
      <c r="F181">
        <v>5</v>
      </c>
      <c r="G181">
        <v>5</v>
      </c>
      <c r="H181">
        <v>4</v>
      </c>
      <c r="I181">
        <v>4</v>
      </c>
      <c r="J181">
        <v>4</v>
      </c>
      <c r="O181" s="5">
        <v>7</v>
      </c>
      <c r="P181" s="5">
        <v>7</v>
      </c>
      <c r="Q181" s="5">
        <v>7</v>
      </c>
      <c r="R181" s="5">
        <v>0</v>
      </c>
      <c r="S181" s="5">
        <v>0</v>
      </c>
    </row>
    <row r="182" spans="1:20">
      <c r="A182" s="3" t="s">
        <v>777</v>
      </c>
      <c r="B182" s="23" t="s">
        <v>127</v>
      </c>
      <c r="C182" s="23"/>
      <c r="D182" s="23"/>
      <c r="E182" s="63">
        <f t="shared" ref="E182:J182" si="80">SUBTOTAL(9,E183:E183)</f>
        <v>2</v>
      </c>
      <c r="F182" s="63">
        <f t="shared" si="80"/>
        <v>2</v>
      </c>
      <c r="G182" s="63">
        <f t="shared" si="80"/>
        <v>2</v>
      </c>
      <c r="H182" s="63">
        <f t="shared" si="80"/>
        <v>2</v>
      </c>
      <c r="I182" s="63">
        <f t="shared" si="80"/>
        <v>3</v>
      </c>
      <c r="J182" s="63">
        <f t="shared" si="80"/>
        <v>3</v>
      </c>
      <c r="K182"/>
      <c r="L182"/>
      <c r="M182"/>
      <c r="N182"/>
      <c r="O182" s="63">
        <f>SUBTOTAL(9,O183:O183)</f>
        <v>5</v>
      </c>
      <c r="P182" s="63">
        <f>SUBTOTAL(9,P183:P183)</f>
        <v>5</v>
      </c>
      <c r="Q182" s="63">
        <f>SUBTOTAL(9,Q183:Q183)</f>
        <v>5</v>
      </c>
      <c r="R182" s="63">
        <f>SUBTOTAL(9,R183:R183)</f>
        <v>2</v>
      </c>
      <c r="S182" s="63">
        <f>SUBTOTAL(9,S183:S183)</f>
        <v>2</v>
      </c>
      <c r="T182"/>
    </row>
    <row r="183" spans="1:20">
      <c r="A183" s="3" t="s">
        <v>778</v>
      </c>
      <c r="B183" t="s">
        <v>135</v>
      </c>
      <c r="C183"/>
      <c r="D183"/>
      <c r="E183">
        <v>2</v>
      </c>
      <c r="F183">
        <v>2</v>
      </c>
      <c r="G183">
        <v>2</v>
      </c>
      <c r="H183">
        <v>2</v>
      </c>
      <c r="I183">
        <v>3</v>
      </c>
      <c r="J183">
        <v>3</v>
      </c>
      <c r="O183" s="5">
        <v>5</v>
      </c>
      <c r="P183" s="5">
        <v>5</v>
      </c>
      <c r="Q183" s="5">
        <v>5</v>
      </c>
      <c r="R183" s="5">
        <v>2</v>
      </c>
      <c r="S183" s="5">
        <v>2</v>
      </c>
    </row>
    <row r="184" spans="1:20">
      <c r="A184" s="3" t="s">
        <v>786</v>
      </c>
      <c r="B184"/>
      <c r="C184"/>
      <c r="D184"/>
      <c r="F184"/>
      <c r="G184"/>
      <c r="H184"/>
      <c r="I184"/>
      <c r="J184"/>
    </row>
    <row r="185" spans="1:20" ht="15.75">
      <c r="A185" s="3" t="s">
        <v>793</v>
      </c>
      <c r="B185" s="25" t="s">
        <v>163</v>
      </c>
      <c r="C185" s="25"/>
      <c r="D185" s="25"/>
      <c r="E185" s="63">
        <f>SUBTOTAL(9,E186:E198)</f>
        <v>87.3</v>
      </c>
      <c r="F185" s="63">
        <f>SUBTOTAL(9,F186:F198)</f>
        <v>87.3</v>
      </c>
      <c r="G185" s="63">
        <f>SUBTOTAL(9,G186:G198)</f>
        <v>87.3</v>
      </c>
      <c r="H185" s="63">
        <f>SUBTOTAL(9,H186:H198)</f>
        <v>87.3</v>
      </c>
      <c r="I185" s="63">
        <f>SUBTOTAL(9,I186:I198)</f>
        <v>87.3</v>
      </c>
      <c r="J185" s="63">
        <f t="shared" ref="J185" si="81">SUBTOTAL(9,J186:J198)</f>
        <v>97.8</v>
      </c>
      <c r="K185"/>
      <c r="L185"/>
      <c r="M185"/>
      <c r="N185"/>
      <c r="O185" s="63">
        <f>SUBTOTAL(9,O186:O198)</f>
        <v>88.3</v>
      </c>
      <c r="P185" s="63">
        <f>SUBTOTAL(9,P186:P198)</f>
        <v>88.3</v>
      </c>
      <c r="Q185" s="63">
        <f>SUBTOTAL(9,Q186:Q198)</f>
        <v>86.3</v>
      </c>
      <c r="R185" s="63">
        <f>SUBTOTAL(9,R186:R198)</f>
        <v>86.3</v>
      </c>
      <c r="S185" s="63">
        <f>SUBTOTAL(9,S186:S198)</f>
        <v>82.3</v>
      </c>
    </row>
    <row r="186" spans="1:20">
      <c r="A186" s="3" t="s">
        <v>715</v>
      </c>
      <c r="B186" s="23" t="s">
        <v>120</v>
      </c>
      <c r="C186" s="23"/>
      <c r="D186" s="23"/>
      <c r="E186" s="63">
        <f>SUBTOTAL(9,E187:E188)</f>
        <v>6</v>
      </c>
      <c r="F186" s="63">
        <f>SUBTOTAL(9,F187:F188)</f>
        <v>7</v>
      </c>
      <c r="G186" s="63">
        <f>SUBTOTAL(9,G187:G188)</f>
        <v>7</v>
      </c>
      <c r="H186" s="63">
        <f>SUBTOTAL(9,H187:H188)</f>
        <v>7</v>
      </c>
      <c r="I186" s="63">
        <f>SUBTOTAL(9,I187:I188)</f>
        <v>7</v>
      </c>
      <c r="J186" s="63">
        <f t="shared" ref="J186" si="82">SUBTOTAL(9,J187:J188)</f>
        <v>12.5</v>
      </c>
      <c r="K186"/>
      <c r="L186"/>
      <c r="M186"/>
      <c r="N186"/>
      <c r="O186" s="63">
        <f>SUBTOTAL(9,O187:O188)</f>
        <v>8</v>
      </c>
      <c r="P186" s="63">
        <f>SUBTOTAL(9,P187:P188)</f>
        <v>8</v>
      </c>
      <c r="Q186" s="63">
        <f>SUBTOTAL(9,Q187:Q188)</f>
        <v>8</v>
      </c>
      <c r="R186" s="63">
        <f>SUBTOTAL(9,R187:R188)</f>
        <v>7.2</v>
      </c>
      <c r="S186" s="63">
        <f>SUBTOTAL(9,S187:S188)</f>
        <v>6.7</v>
      </c>
    </row>
    <row r="187" spans="1:20">
      <c r="A187" s="3" t="s">
        <v>716</v>
      </c>
      <c r="B187" t="s">
        <v>164</v>
      </c>
      <c r="C187"/>
      <c r="D187"/>
      <c r="E187">
        <v>0.5</v>
      </c>
      <c r="F187">
        <v>0.5</v>
      </c>
      <c r="G187">
        <v>0.5</v>
      </c>
      <c r="H187">
        <v>0.5</v>
      </c>
      <c r="I187">
        <v>0.5</v>
      </c>
      <c r="J187">
        <v>5</v>
      </c>
      <c r="O187" s="5">
        <v>0.5</v>
      </c>
      <c r="P187" s="5">
        <v>0.5</v>
      </c>
      <c r="Q187" s="5">
        <v>0.5</v>
      </c>
      <c r="R187" s="5">
        <v>1.8</v>
      </c>
      <c r="S187" s="5">
        <v>1.8</v>
      </c>
    </row>
    <row r="188" spans="1:20">
      <c r="A188" s="3" t="s">
        <v>717</v>
      </c>
      <c r="B188" t="s">
        <v>130</v>
      </c>
      <c r="C188"/>
      <c r="D188"/>
      <c r="E188">
        <v>5.5</v>
      </c>
      <c r="F188">
        <v>6.5</v>
      </c>
      <c r="G188">
        <v>6.5</v>
      </c>
      <c r="H188">
        <v>6.5</v>
      </c>
      <c r="I188">
        <v>6.5</v>
      </c>
      <c r="J188">
        <v>7.5</v>
      </c>
      <c r="O188" s="5">
        <v>7.5</v>
      </c>
      <c r="P188" s="5">
        <v>7.5</v>
      </c>
      <c r="Q188" s="5">
        <v>7.5</v>
      </c>
      <c r="R188" s="5">
        <v>5.4</v>
      </c>
      <c r="S188" s="5">
        <v>4.9000000000000004</v>
      </c>
    </row>
    <row r="189" spans="1:20">
      <c r="A189" s="3" t="s">
        <v>718</v>
      </c>
      <c r="B189" s="23" t="s">
        <v>121</v>
      </c>
      <c r="C189" s="23"/>
      <c r="D189" s="23"/>
      <c r="E189" s="63">
        <f>SUBTOTAL(9,E190:E192)</f>
        <v>30.5</v>
      </c>
      <c r="F189" s="63">
        <f>SUBTOTAL(9,F190:F192)</f>
        <v>28.5</v>
      </c>
      <c r="G189" s="63">
        <f>SUBTOTAL(9,G190:G192)</f>
        <v>28.5</v>
      </c>
      <c r="H189" s="63">
        <f>SUBTOTAL(9,H190:H192)</f>
        <v>28.5</v>
      </c>
      <c r="I189" s="63">
        <f>SUBTOTAL(9,I190:I192)</f>
        <v>28.5</v>
      </c>
      <c r="J189" s="63">
        <f t="shared" ref="J189" si="83">SUBTOTAL(9,J190:J192)</f>
        <v>30.5</v>
      </c>
      <c r="K189" s="63"/>
      <c r="L189" s="63"/>
      <c r="M189" s="63"/>
      <c r="N189" s="63"/>
      <c r="O189" s="63">
        <f>SUBTOTAL(9,O190:O192)</f>
        <v>26.5</v>
      </c>
      <c r="P189" s="63">
        <f>SUBTOTAL(9,P190:P192)</f>
        <v>26.5</v>
      </c>
      <c r="Q189" s="63">
        <f>SUBTOTAL(9,Q190:Q192)</f>
        <v>25.5</v>
      </c>
      <c r="R189" s="63">
        <f>SUBTOTAL(9,R190:R192)</f>
        <v>13.1</v>
      </c>
      <c r="S189" s="63">
        <f>SUBTOTAL(9,S190:S192)</f>
        <v>2.8</v>
      </c>
    </row>
    <row r="190" spans="1:20">
      <c r="A190" s="3" t="s">
        <v>722</v>
      </c>
      <c r="B190" t="s">
        <v>165</v>
      </c>
      <c r="C190"/>
      <c r="D190"/>
      <c r="E190">
        <v>4</v>
      </c>
      <c r="F190">
        <v>3</v>
      </c>
      <c r="G190">
        <v>3</v>
      </c>
      <c r="H190">
        <v>3</v>
      </c>
      <c r="I190">
        <v>3</v>
      </c>
      <c r="J190"/>
    </row>
    <row r="191" spans="1:20">
      <c r="A191" s="3" t="s">
        <v>728</v>
      </c>
      <c r="B191" t="s">
        <v>131</v>
      </c>
      <c r="C191"/>
      <c r="D191"/>
      <c r="E191">
        <v>5.5</v>
      </c>
      <c r="F191">
        <v>5.5</v>
      </c>
      <c r="G191">
        <v>5.5</v>
      </c>
      <c r="H191">
        <v>5.5</v>
      </c>
      <c r="I191">
        <v>5.5</v>
      </c>
      <c r="J191">
        <v>9.5</v>
      </c>
      <c r="O191" s="5">
        <v>6.5</v>
      </c>
      <c r="P191" s="5">
        <v>6.5</v>
      </c>
      <c r="Q191" s="5">
        <v>6.5</v>
      </c>
      <c r="R191" s="5">
        <v>6.3</v>
      </c>
      <c r="S191" s="5">
        <v>2</v>
      </c>
    </row>
    <row r="192" spans="1:20">
      <c r="A192" s="3" t="s">
        <v>729</v>
      </c>
      <c r="B192" t="s">
        <v>142</v>
      </c>
      <c r="C192"/>
      <c r="D192"/>
      <c r="E192">
        <v>21</v>
      </c>
      <c r="F192">
        <v>20</v>
      </c>
      <c r="G192">
        <v>20</v>
      </c>
      <c r="H192">
        <v>20</v>
      </c>
      <c r="I192">
        <v>20</v>
      </c>
      <c r="J192">
        <v>21</v>
      </c>
      <c r="O192" s="5">
        <v>20</v>
      </c>
      <c r="P192" s="5">
        <v>20</v>
      </c>
      <c r="Q192" s="5">
        <v>19</v>
      </c>
      <c r="R192" s="5">
        <v>6.8</v>
      </c>
      <c r="S192" s="5">
        <v>0.8</v>
      </c>
    </row>
    <row r="193" spans="1:19">
      <c r="A193" s="3" t="s">
        <v>730</v>
      </c>
      <c r="B193" s="23" t="s">
        <v>122</v>
      </c>
      <c r="C193" s="23"/>
      <c r="D193" s="23"/>
      <c r="E193" s="63">
        <f>SUBTOTAL(9,E194:E194)</f>
        <v>45.8</v>
      </c>
      <c r="F193" s="63">
        <f>SUBTOTAL(9,F194:F194)</f>
        <v>45.8</v>
      </c>
      <c r="G193" s="63">
        <f>SUBTOTAL(9,G194:G194)</f>
        <v>45.8</v>
      </c>
      <c r="H193" s="63">
        <f>SUBTOTAL(9,H194:H194)</f>
        <v>45.8</v>
      </c>
      <c r="I193" s="63">
        <f>SUBTOTAL(9,I194:I194)</f>
        <v>45.8</v>
      </c>
      <c r="J193" s="63">
        <f t="shared" ref="J193" si="84">SUBTOTAL(9,J194:J194)</f>
        <v>48.8</v>
      </c>
      <c r="K193" s="63"/>
      <c r="L193" s="63"/>
      <c r="M193" s="63"/>
      <c r="N193" s="63"/>
      <c r="O193" s="63">
        <f>SUBTOTAL(9,O194:O194)</f>
        <v>46.8</v>
      </c>
      <c r="P193" s="63">
        <f>SUBTOTAL(9,P194:P194)</f>
        <v>46.8</v>
      </c>
      <c r="Q193" s="63">
        <f>SUBTOTAL(9,Q194:Q194)</f>
        <v>45.8</v>
      </c>
      <c r="R193" s="63">
        <f>SUBTOTAL(9,R194:R194)</f>
        <v>60</v>
      </c>
      <c r="S193" s="63">
        <f>SUBTOTAL(9,S194:S194)</f>
        <v>68.7</v>
      </c>
    </row>
    <row r="194" spans="1:19">
      <c r="A194" s="3" t="s">
        <v>731</v>
      </c>
      <c r="B194" t="s">
        <v>132</v>
      </c>
      <c r="C194"/>
      <c r="D194"/>
      <c r="E194">
        <v>45.8</v>
      </c>
      <c r="F194">
        <v>45.8</v>
      </c>
      <c r="G194">
        <v>45.8</v>
      </c>
      <c r="H194">
        <v>45.8</v>
      </c>
      <c r="I194">
        <v>45.8</v>
      </c>
      <c r="J194">
        <v>48.8</v>
      </c>
      <c r="O194" s="5">
        <v>46.8</v>
      </c>
      <c r="P194" s="5">
        <v>46.8</v>
      </c>
      <c r="Q194" s="5">
        <v>45.8</v>
      </c>
      <c r="R194" s="5">
        <v>60</v>
      </c>
      <c r="S194" s="5">
        <v>68.7</v>
      </c>
    </row>
    <row r="195" spans="1:19">
      <c r="A195" s="3" t="s">
        <v>770</v>
      </c>
      <c r="B195" s="23" t="s">
        <v>126</v>
      </c>
      <c r="C195" s="23"/>
      <c r="D195" s="23"/>
      <c r="E195" s="63">
        <f>SUBTOTAL(9,E196:E196)</f>
        <v>4</v>
      </c>
      <c r="F195" s="63">
        <f>SUBTOTAL(9,F196:F196)</f>
        <v>5</v>
      </c>
      <c r="G195" s="63">
        <f>SUBTOTAL(9,G196:G196)</f>
        <v>5</v>
      </c>
      <c r="H195" s="63">
        <f>SUBTOTAL(9,H196:H196)</f>
        <v>5</v>
      </c>
      <c r="I195" s="63">
        <f>SUBTOTAL(9,I196:I196)</f>
        <v>5</v>
      </c>
      <c r="J195" s="63">
        <f t="shared" ref="J195" si="85">SUBTOTAL(9,J196:J196)</f>
        <v>5</v>
      </c>
      <c r="K195" s="63"/>
      <c r="L195" s="63"/>
      <c r="M195" s="63"/>
      <c r="N195" s="63"/>
      <c r="O195" s="63">
        <f>SUBTOTAL(9,O196:O196)</f>
        <v>5</v>
      </c>
      <c r="P195" s="63">
        <f>SUBTOTAL(9,P196:P196)</f>
        <v>5</v>
      </c>
      <c r="Q195" s="63">
        <f>SUBTOTAL(9,Q196:Q196)</f>
        <v>5</v>
      </c>
      <c r="R195" s="63">
        <f>SUBTOTAL(9,R196:R196)</f>
        <v>4</v>
      </c>
      <c r="S195" s="63">
        <f>SUBTOTAL(9,S196:S196)</f>
        <v>4.0999999999999996</v>
      </c>
    </row>
    <row r="196" spans="1:19">
      <c r="A196" s="3" t="s">
        <v>775</v>
      </c>
      <c r="B196" t="s">
        <v>133</v>
      </c>
      <c r="C196"/>
      <c r="D196"/>
      <c r="E196">
        <v>4</v>
      </c>
      <c r="F196">
        <v>5</v>
      </c>
      <c r="G196">
        <v>5</v>
      </c>
      <c r="H196">
        <v>5</v>
      </c>
      <c r="I196">
        <v>5</v>
      </c>
      <c r="J196">
        <v>5</v>
      </c>
      <c r="O196" s="5">
        <v>5</v>
      </c>
      <c r="P196" s="5">
        <v>5</v>
      </c>
      <c r="Q196" s="5">
        <v>5</v>
      </c>
      <c r="R196" s="5">
        <v>4</v>
      </c>
      <c r="S196" s="5">
        <v>4.0999999999999996</v>
      </c>
    </row>
    <row r="197" spans="1:19">
      <c r="A197" s="3" t="s">
        <v>777</v>
      </c>
      <c r="B197" s="23" t="s">
        <v>127</v>
      </c>
      <c r="C197" s="23"/>
      <c r="D197" s="23"/>
      <c r="E197" s="63">
        <f>SUBTOTAL(9,E198:E198)</f>
        <v>1</v>
      </c>
      <c r="F197" s="63">
        <f>SUBTOTAL(9,F198:F198)</f>
        <v>1</v>
      </c>
      <c r="G197" s="63">
        <f>SUBTOTAL(9,G198:G198)</f>
        <v>1</v>
      </c>
      <c r="H197" s="63">
        <f>SUBTOTAL(9,H198:H198)</f>
        <v>1</v>
      </c>
      <c r="I197" s="63">
        <f>SUBTOTAL(9,I198:I198)</f>
        <v>1</v>
      </c>
      <c r="J197" s="63">
        <f t="shared" ref="J197" si="86">SUBTOTAL(9,J198:J198)</f>
        <v>1</v>
      </c>
      <c r="K197" s="63"/>
      <c r="L197" s="63"/>
      <c r="M197" s="63"/>
      <c r="N197" s="63"/>
      <c r="O197" s="63">
        <f>SUBTOTAL(9,O198:O198)</f>
        <v>2</v>
      </c>
      <c r="P197" s="63">
        <f>SUBTOTAL(9,P198:P198)</f>
        <v>2</v>
      </c>
      <c r="Q197" s="63">
        <f>SUBTOTAL(9,Q198:Q198)</f>
        <v>2</v>
      </c>
      <c r="R197" s="63">
        <f>SUBTOTAL(9,R198:R198)</f>
        <v>2</v>
      </c>
      <c r="S197" s="63">
        <f>SUBTOTAL(9,S198:S198)</f>
        <v>0</v>
      </c>
    </row>
    <row r="198" spans="1:19">
      <c r="A198" s="3" t="s">
        <v>778</v>
      </c>
      <c r="B198" t="s">
        <v>135</v>
      </c>
      <c r="C198"/>
      <c r="D198"/>
      <c r="E198">
        <v>1</v>
      </c>
      <c r="F198">
        <v>1</v>
      </c>
      <c r="G198">
        <v>1</v>
      </c>
      <c r="H198">
        <v>1</v>
      </c>
      <c r="I198">
        <v>1</v>
      </c>
      <c r="J198">
        <v>1</v>
      </c>
      <c r="O198" s="5">
        <v>2</v>
      </c>
      <c r="P198" s="5">
        <v>2</v>
      </c>
      <c r="Q198" s="5">
        <v>2</v>
      </c>
      <c r="R198" s="5">
        <v>2</v>
      </c>
      <c r="S198" s="5">
        <v>0</v>
      </c>
    </row>
    <row r="199" spans="1:19">
      <c r="A199" s="3" t="s">
        <v>786</v>
      </c>
      <c r="B199"/>
      <c r="C199"/>
      <c r="D199"/>
      <c r="F199"/>
      <c r="G199"/>
      <c r="H199"/>
      <c r="I199"/>
      <c r="J199"/>
    </row>
    <row r="200" spans="1:19" ht="15.75">
      <c r="A200" s="3" t="s">
        <v>794</v>
      </c>
      <c r="B200" s="25" t="s">
        <v>166</v>
      </c>
      <c r="C200" s="25"/>
      <c r="D200" s="25"/>
      <c r="E200" s="63">
        <f t="shared" ref="E200:J200" si="87">SUBTOTAL(9,E201:E208)</f>
        <v>9.3000000000000007</v>
      </c>
      <c r="F200" s="63">
        <f t="shared" si="87"/>
        <v>9.3000000000000007</v>
      </c>
      <c r="G200" s="63">
        <f t="shared" si="87"/>
        <v>10.3</v>
      </c>
      <c r="H200" s="63">
        <f t="shared" si="87"/>
        <v>10.3</v>
      </c>
      <c r="I200" s="63">
        <f t="shared" si="87"/>
        <v>10.3</v>
      </c>
      <c r="J200" s="63">
        <f t="shared" si="87"/>
        <v>10.3</v>
      </c>
      <c r="K200" s="63"/>
      <c r="L200" s="63"/>
      <c r="M200" s="63"/>
      <c r="N200" s="63"/>
      <c r="O200" s="63">
        <f>SUBTOTAL(9,O201:O208)</f>
        <v>10.3</v>
      </c>
      <c r="P200" s="63">
        <f>SUBTOTAL(9,P201:P208)</f>
        <v>10.3</v>
      </c>
      <c r="Q200" s="63">
        <f>SUBTOTAL(9,Q201:Q208)</f>
        <v>10.3</v>
      </c>
      <c r="R200" s="63">
        <f>SUBTOTAL(9,R201:R208)</f>
        <v>6.3</v>
      </c>
      <c r="S200" s="63">
        <f>SUBTOTAL(9,S201:S208)</f>
        <v>6.3</v>
      </c>
    </row>
    <row r="201" spans="1:19">
      <c r="A201" s="3" t="s">
        <v>715</v>
      </c>
      <c r="B201" s="23" t="s">
        <v>120</v>
      </c>
      <c r="C201" s="23"/>
      <c r="D201" s="23"/>
      <c r="E201" s="63">
        <f>SUBTOTAL(9,E202:E202)</f>
        <v>1</v>
      </c>
      <c r="F201" s="63">
        <f>SUBTOTAL(9,F202:F202)</f>
        <v>1</v>
      </c>
      <c r="G201" s="63">
        <f>SUBTOTAL(9,G202:G202)</f>
        <v>1</v>
      </c>
      <c r="H201" s="63">
        <f>SUBTOTAL(9,H202:H202)</f>
        <v>1</v>
      </c>
      <c r="I201" s="63">
        <f>SUBTOTAL(9,I202:I202)</f>
        <v>1</v>
      </c>
      <c r="J201" s="63">
        <f t="shared" ref="J201" si="88">SUBTOTAL(9,J202:J202)</f>
        <v>1</v>
      </c>
      <c r="K201" s="63"/>
      <c r="L201" s="63"/>
      <c r="M201" s="63"/>
      <c r="N201" s="63"/>
      <c r="O201" s="63">
        <f>SUBTOTAL(9,O202:O202)</f>
        <v>1</v>
      </c>
      <c r="P201" s="63">
        <f>SUBTOTAL(9,P202:P202)</f>
        <v>1</v>
      </c>
      <c r="Q201" s="63">
        <f>SUBTOTAL(9,Q202:Q202)</f>
        <v>1</v>
      </c>
      <c r="R201" s="63">
        <f>SUBTOTAL(9,R202:R202)</f>
        <v>0</v>
      </c>
      <c r="S201" s="63">
        <f>SUBTOTAL(9,S202:S202)</f>
        <v>0</v>
      </c>
    </row>
    <row r="202" spans="1:19">
      <c r="A202" s="3" t="s">
        <v>717</v>
      </c>
      <c r="B202" t="s">
        <v>130</v>
      </c>
      <c r="C202"/>
      <c r="D202"/>
      <c r="E202">
        <v>1</v>
      </c>
      <c r="F202">
        <v>1</v>
      </c>
      <c r="G202">
        <v>1</v>
      </c>
      <c r="H202">
        <v>1</v>
      </c>
      <c r="I202">
        <v>1</v>
      </c>
      <c r="J202">
        <v>1</v>
      </c>
      <c r="O202" s="5">
        <v>1</v>
      </c>
      <c r="P202" s="5">
        <v>1</v>
      </c>
      <c r="Q202" s="5">
        <v>1</v>
      </c>
      <c r="R202" s="5">
        <v>0</v>
      </c>
      <c r="S202" s="5">
        <v>0</v>
      </c>
    </row>
    <row r="203" spans="1:19">
      <c r="A203" s="3" t="s">
        <v>718</v>
      </c>
      <c r="B203" s="23" t="s">
        <v>121</v>
      </c>
      <c r="C203" s="23"/>
      <c r="D203" s="23"/>
      <c r="E203" s="63">
        <f>SUBTOTAL(9,E204:E204)</f>
        <v>4.3</v>
      </c>
      <c r="F203" s="63">
        <f>SUBTOTAL(9,F204:F204)</f>
        <v>4.3</v>
      </c>
      <c r="G203" s="63">
        <f>SUBTOTAL(9,G204:G204)</f>
        <v>4.3</v>
      </c>
      <c r="H203" s="63">
        <f>SUBTOTAL(9,H204:H204)</f>
        <v>4.3</v>
      </c>
      <c r="I203" s="63">
        <f>SUBTOTAL(9,I204:I204)</f>
        <v>3.3</v>
      </c>
      <c r="J203" s="63">
        <f t="shared" ref="J203" si="89">SUBTOTAL(9,J204:J204)</f>
        <v>3.3</v>
      </c>
      <c r="K203" s="63"/>
      <c r="L203" s="63"/>
      <c r="M203" s="63"/>
      <c r="N203" s="63"/>
      <c r="O203" s="63">
        <f>SUBTOTAL(9,O204:O204)</f>
        <v>2.2999999999999998</v>
      </c>
      <c r="P203" s="63">
        <f>SUBTOTAL(9,P204:P204)</f>
        <v>2.2999999999999998</v>
      </c>
      <c r="Q203" s="63">
        <f>SUBTOTAL(9,Q204:Q204)</f>
        <v>2.2999999999999998</v>
      </c>
      <c r="R203" s="63">
        <f>SUBTOTAL(9,R204:R204)</f>
        <v>1.3</v>
      </c>
      <c r="S203" s="63">
        <f>SUBTOTAL(9,S204:S204)</f>
        <v>1.3</v>
      </c>
    </row>
    <row r="204" spans="1:19">
      <c r="A204" s="3" t="s">
        <v>728</v>
      </c>
      <c r="B204" t="s">
        <v>131</v>
      </c>
      <c r="C204"/>
      <c r="D204"/>
      <c r="E204">
        <v>4.3</v>
      </c>
      <c r="F204">
        <v>4.3</v>
      </c>
      <c r="G204">
        <v>4.3</v>
      </c>
      <c r="H204">
        <v>4.3</v>
      </c>
      <c r="I204">
        <v>3.3</v>
      </c>
      <c r="J204">
        <v>3.3</v>
      </c>
      <c r="O204" s="5">
        <v>2.2999999999999998</v>
      </c>
      <c r="P204" s="5">
        <v>2.2999999999999998</v>
      </c>
      <c r="Q204" s="5">
        <v>2.2999999999999998</v>
      </c>
      <c r="R204" s="5">
        <v>1.3</v>
      </c>
      <c r="S204" s="5">
        <v>1.3</v>
      </c>
    </row>
    <row r="205" spans="1:19">
      <c r="A205" s="3"/>
      <c r="B205" s="24" t="s">
        <v>693</v>
      </c>
      <c r="C205" s="24"/>
      <c r="D205" s="24"/>
      <c r="E205"/>
      <c r="F205"/>
      <c r="G205"/>
      <c r="H205"/>
      <c r="I205"/>
      <c r="J205"/>
      <c r="O205" s="5">
        <v>1</v>
      </c>
      <c r="P205" s="5">
        <v>1</v>
      </c>
      <c r="Q205" s="5">
        <v>1</v>
      </c>
      <c r="R205" s="5">
        <v>0</v>
      </c>
      <c r="S205" s="5">
        <v>1</v>
      </c>
    </row>
    <row r="206" spans="1:19">
      <c r="A206" s="3" t="s">
        <v>770</v>
      </c>
      <c r="B206" s="23" t="s">
        <v>126</v>
      </c>
      <c r="C206" s="23"/>
      <c r="D206" s="23"/>
      <c r="E206" s="63">
        <f>SUBTOTAL(9,E207:E208)</f>
        <v>4</v>
      </c>
      <c r="F206" s="63">
        <f>SUBTOTAL(9,F207:F208)</f>
        <v>4</v>
      </c>
      <c r="G206" s="63">
        <f>SUBTOTAL(9,G207:G208)</f>
        <v>5</v>
      </c>
      <c r="H206" s="63">
        <f>SUBTOTAL(9,H207:H208)</f>
        <v>5</v>
      </c>
      <c r="I206" s="63">
        <f>SUBTOTAL(9,I207:I208)</f>
        <v>6</v>
      </c>
      <c r="J206" s="63">
        <f t="shared" ref="J206" si="90">SUBTOTAL(9,J207:J208)</f>
        <v>6</v>
      </c>
      <c r="K206" s="63"/>
      <c r="L206" s="63"/>
      <c r="M206" s="63"/>
      <c r="N206" s="63"/>
      <c r="O206" s="63">
        <f>SUBTOTAL(9,O207:O208)</f>
        <v>6</v>
      </c>
      <c r="P206" s="63">
        <f>SUBTOTAL(9,P207:P208)</f>
        <v>6</v>
      </c>
      <c r="Q206" s="63">
        <f>SUBTOTAL(9,Q207:Q208)</f>
        <v>6</v>
      </c>
      <c r="R206" s="63">
        <f>SUBTOTAL(9,R207:R208)</f>
        <v>5</v>
      </c>
      <c r="S206" s="63">
        <f>SUBTOTAL(9,S207:S208)</f>
        <v>4</v>
      </c>
    </row>
    <row r="207" spans="1:19">
      <c r="A207" s="3" t="s">
        <v>775</v>
      </c>
      <c r="B207" t="s">
        <v>133</v>
      </c>
      <c r="C207"/>
      <c r="D207"/>
      <c r="E207">
        <v>0</v>
      </c>
      <c r="F207">
        <v>0</v>
      </c>
      <c r="G207">
        <v>0</v>
      </c>
      <c r="H207">
        <v>0</v>
      </c>
      <c r="I207">
        <v>1</v>
      </c>
      <c r="J207">
        <v>1</v>
      </c>
      <c r="O207" s="5">
        <v>1</v>
      </c>
      <c r="P207" s="5">
        <v>1</v>
      </c>
      <c r="Q207" s="5">
        <v>1</v>
      </c>
      <c r="R207" s="5">
        <v>1</v>
      </c>
      <c r="S207" s="5">
        <v>4</v>
      </c>
    </row>
    <row r="208" spans="1:19">
      <c r="A208" s="3" t="s">
        <v>776</v>
      </c>
      <c r="B208" t="s">
        <v>134</v>
      </c>
      <c r="C208"/>
      <c r="D208"/>
      <c r="E208">
        <v>4</v>
      </c>
      <c r="F208">
        <v>4</v>
      </c>
      <c r="G208">
        <v>5</v>
      </c>
      <c r="H208">
        <v>5</v>
      </c>
      <c r="I208">
        <v>5</v>
      </c>
      <c r="J208">
        <v>5</v>
      </c>
      <c r="O208" s="5">
        <v>5</v>
      </c>
      <c r="P208" s="5">
        <v>5</v>
      </c>
      <c r="Q208" s="5">
        <v>5</v>
      </c>
      <c r="R208" s="5">
        <v>4</v>
      </c>
      <c r="S208" s="5">
        <v>0</v>
      </c>
    </row>
    <row r="209" spans="1:19">
      <c r="A209" s="3" t="s">
        <v>786</v>
      </c>
      <c r="B209"/>
      <c r="C209"/>
      <c r="D209"/>
      <c r="E209"/>
      <c r="F209"/>
      <c r="G209"/>
      <c r="H209"/>
      <c r="I209"/>
      <c r="J209"/>
    </row>
    <row r="210" spans="1:19" ht="15.75">
      <c r="A210" s="3" t="s">
        <v>795</v>
      </c>
      <c r="B210" s="25" t="s">
        <v>167</v>
      </c>
      <c r="C210" s="25"/>
      <c r="D210" s="25"/>
      <c r="E210" s="63">
        <f t="shared" ref="E210:J210" si="91">SUBTOTAL(9,E211:E218)</f>
        <v>19</v>
      </c>
      <c r="F210" s="63">
        <f t="shared" si="91"/>
        <v>19</v>
      </c>
      <c r="G210" s="63">
        <f t="shared" si="91"/>
        <v>18</v>
      </c>
      <c r="H210" s="63">
        <f t="shared" si="91"/>
        <v>18</v>
      </c>
      <c r="I210" s="63">
        <f t="shared" si="91"/>
        <v>18</v>
      </c>
      <c r="J210" s="63">
        <f t="shared" si="91"/>
        <v>18</v>
      </c>
      <c r="K210" s="63"/>
      <c r="L210" s="63"/>
      <c r="M210" s="63"/>
      <c r="N210" s="63"/>
      <c r="O210" s="63">
        <f>SUBTOTAL(9,O211:O218)</f>
        <v>13.5</v>
      </c>
      <c r="P210" s="63">
        <f>SUBTOTAL(9,P211:P218)</f>
        <v>13.5</v>
      </c>
      <c r="Q210" s="63">
        <f>SUBTOTAL(9,Q211:Q218)</f>
        <v>13</v>
      </c>
      <c r="R210" s="63">
        <f>SUBTOTAL(9,R211:R218)</f>
        <v>13</v>
      </c>
      <c r="S210" s="63">
        <f>SUBTOTAL(9,S211:S218)</f>
        <v>7</v>
      </c>
    </row>
    <row r="211" spans="1:19">
      <c r="A211" s="3" t="s">
        <v>718</v>
      </c>
      <c r="B211" s="23" t="s">
        <v>121</v>
      </c>
      <c r="C211" s="23"/>
      <c r="D211" s="23"/>
      <c r="E211" s="63">
        <f t="shared" ref="E211:J211" si="92">SUBTOTAL(9,E212:E213)</f>
        <v>8</v>
      </c>
      <c r="F211" s="63">
        <f t="shared" si="92"/>
        <v>8</v>
      </c>
      <c r="G211" s="63">
        <f t="shared" si="92"/>
        <v>8</v>
      </c>
      <c r="H211" s="63">
        <f t="shared" si="92"/>
        <v>8</v>
      </c>
      <c r="I211" s="63">
        <f t="shared" si="92"/>
        <v>8</v>
      </c>
      <c r="J211" s="63">
        <f t="shared" si="92"/>
        <v>8</v>
      </c>
      <c r="K211" s="63"/>
      <c r="L211" s="63"/>
      <c r="M211" s="63"/>
      <c r="N211" s="63"/>
      <c r="O211" s="63">
        <f>SUBTOTAL(9,O212:O213)</f>
        <v>11</v>
      </c>
      <c r="P211" s="63">
        <f>SUBTOTAL(9,P212:P213)</f>
        <v>11</v>
      </c>
      <c r="Q211" s="63">
        <f>SUBTOTAL(9,Q212:Q213)</f>
        <v>10.5</v>
      </c>
      <c r="R211" s="63">
        <f>SUBTOTAL(9,R212:R213)</f>
        <v>10.5</v>
      </c>
      <c r="S211" s="63">
        <f>SUBTOTAL(9,S212:S213)</f>
        <v>4</v>
      </c>
    </row>
    <row r="212" spans="1:19">
      <c r="A212" s="3" t="s">
        <v>728</v>
      </c>
      <c r="B212" t="s">
        <v>131</v>
      </c>
      <c r="C212"/>
      <c r="D212"/>
      <c r="E212">
        <v>6</v>
      </c>
      <c r="F212">
        <v>6</v>
      </c>
      <c r="G212">
        <v>8</v>
      </c>
      <c r="H212">
        <v>8</v>
      </c>
      <c r="I212">
        <v>8</v>
      </c>
      <c r="J212">
        <v>8</v>
      </c>
      <c r="O212" s="5">
        <v>8</v>
      </c>
      <c r="P212" s="5">
        <v>8</v>
      </c>
      <c r="Q212" s="5">
        <v>7.5</v>
      </c>
      <c r="R212" s="5">
        <v>7.5</v>
      </c>
      <c r="S212" s="5">
        <v>3</v>
      </c>
    </row>
    <row r="213" spans="1:19">
      <c r="A213" s="3" t="s">
        <v>729</v>
      </c>
      <c r="B213" t="s">
        <v>168</v>
      </c>
      <c r="C213"/>
      <c r="D213"/>
      <c r="E213">
        <v>2</v>
      </c>
      <c r="F213">
        <v>2</v>
      </c>
      <c r="G213"/>
      <c r="H213"/>
      <c r="I213"/>
      <c r="J213"/>
      <c r="O213" s="5">
        <v>3</v>
      </c>
      <c r="P213" s="5">
        <v>3</v>
      </c>
      <c r="Q213" s="5">
        <v>3</v>
      </c>
      <c r="R213" s="5">
        <v>3</v>
      </c>
      <c r="S213" s="5">
        <v>1</v>
      </c>
    </row>
    <row r="214" spans="1:19">
      <c r="A214" s="3" t="s">
        <v>730</v>
      </c>
      <c r="B214" s="23" t="s">
        <v>122</v>
      </c>
      <c r="C214" s="23"/>
      <c r="D214" s="23"/>
      <c r="E214" s="63">
        <f>SUBTOTAL(9,E215:E215)</f>
        <v>3.5</v>
      </c>
      <c r="F214" s="63">
        <f>SUBTOTAL(9,F215:F215)</f>
        <v>3.5</v>
      </c>
      <c r="G214" s="63">
        <f>SUBTOTAL(9,G215:G215)</f>
        <v>3.5</v>
      </c>
      <c r="H214" s="63">
        <f>SUBTOTAL(9,H215:H215)</f>
        <v>3.5</v>
      </c>
      <c r="I214" s="63">
        <f>SUBTOTAL(9,I215:I215)</f>
        <v>3.5</v>
      </c>
      <c r="J214" s="63">
        <f t="shared" ref="J214" si="93">SUBTOTAL(9,J215:J215)</f>
        <v>3.5</v>
      </c>
      <c r="K214" s="63"/>
      <c r="L214" s="63"/>
      <c r="M214" s="63"/>
      <c r="N214" s="63"/>
      <c r="O214" s="63">
        <f>SUBTOTAL(9,O215:O215)</f>
        <v>0</v>
      </c>
      <c r="P214" s="63">
        <f>SUBTOTAL(9,P215:P215)</f>
        <v>0</v>
      </c>
      <c r="Q214" s="63">
        <f>SUBTOTAL(9,Q215:Q215)</f>
        <v>0</v>
      </c>
      <c r="R214" s="63">
        <f>SUBTOTAL(9,R215:R215)</f>
        <v>0</v>
      </c>
      <c r="S214" s="63">
        <f>SUBTOTAL(9,S215:S215)</f>
        <v>0</v>
      </c>
    </row>
    <row r="215" spans="1:19">
      <c r="A215" s="3" t="s">
        <v>731</v>
      </c>
      <c r="B215" t="s">
        <v>132</v>
      </c>
      <c r="C215"/>
      <c r="D215"/>
      <c r="E215">
        <v>3.5</v>
      </c>
      <c r="F215">
        <v>3.5</v>
      </c>
      <c r="G215">
        <v>3.5</v>
      </c>
      <c r="H215">
        <v>3.5</v>
      </c>
      <c r="I215">
        <v>3.5</v>
      </c>
      <c r="J215">
        <v>3.5</v>
      </c>
    </row>
    <row r="216" spans="1:19">
      <c r="A216" s="3" t="s">
        <v>770</v>
      </c>
      <c r="B216" s="23" t="s">
        <v>126</v>
      </c>
      <c r="C216" s="23"/>
      <c r="D216" s="23"/>
      <c r="E216" s="63">
        <f>SUBTOTAL(9,E218:E218)</f>
        <v>7.5</v>
      </c>
      <c r="F216" s="63">
        <f>SUBTOTAL(9,F218:F218)</f>
        <v>7.5</v>
      </c>
      <c r="G216" s="63">
        <f>SUBTOTAL(9,G218:G218)</f>
        <v>6.5</v>
      </c>
      <c r="H216" s="63">
        <f>SUBTOTAL(9,H218:H218)</f>
        <v>6.5</v>
      </c>
      <c r="I216" s="63">
        <f>SUBTOTAL(9,I218:I218)</f>
        <v>6.5</v>
      </c>
      <c r="J216" s="63">
        <f t="shared" ref="J216" si="94">SUBTOTAL(9,J218:J218)</f>
        <v>6.5</v>
      </c>
      <c r="K216" s="63"/>
      <c r="L216" s="63"/>
      <c r="M216" s="63"/>
      <c r="N216" s="63"/>
      <c r="O216" s="63">
        <f>SUBTOTAL(9,O218:O218)</f>
        <v>2.5</v>
      </c>
      <c r="P216" s="63">
        <f>SUBTOTAL(9,P218:P218)</f>
        <v>2.5</v>
      </c>
      <c r="Q216" s="63">
        <f>SUBTOTAL(9,Q218:Q218)</f>
        <v>2.5</v>
      </c>
      <c r="R216" s="63">
        <f>SUBTOTAL(9,R218:R218)</f>
        <v>2.5</v>
      </c>
      <c r="S216" s="63">
        <f>SUBTOTAL(9,S218:S218)</f>
        <v>0</v>
      </c>
    </row>
    <row r="217" spans="1:19">
      <c r="A217" s="3"/>
      <c r="B217" s="24" t="s">
        <v>694</v>
      </c>
      <c r="C217" s="24"/>
      <c r="D217" s="24"/>
      <c r="E217"/>
      <c r="F217"/>
      <c r="G217"/>
      <c r="H217"/>
      <c r="I217"/>
      <c r="J217"/>
      <c r="O217" s="5">
        <v>0</v>
      </c>
      <c r="P217" s="5">
        <v>0</v>
      </c>
      <c r="Q217" s="5">
        <v>0</v>
      </c>
      <c r="R217" s="5">
        <v>0</v>
      </c>
      <c r="S217" s="5">
        <v>3</v>
      </c>
    </row>
    <row r="218" spans="1:19">
      <c r="A218" s="3" t="s">
        <v>776</v>
      </c>
      <c r="B218" t="s">
        <v>134</v>
      </c>
      <c r="C218"/>
      <c r="D218"/>
      <c r="E218">
        <v>7.5</v>
      </c>
      <c r="F218">
        <v>7.5</v>
      </c>
      <c r="G218">
        <v>6.5</v>
      </c>
      <c r="H218">
        <v>6.5</v>
      </c>
      <c r="I218">
        <v>6.5</v>
      </c>
      <c r="J218">
        <v>6.5</v>
      </c>
      <c r="O218" s="5">
        <v>2.5</v>
      </c>
      <c r="P218" s="5">
        <v>2.5</v>
      </c>
      <c r="Q218" s="5">
        <v>2.5</v>
      </c>
      <c r="R218" s="5">
        <v>2.5</v>
      </c>
      <c r="S218" s="5">
        <v>0</v>
      </c>
    </row>
    <row r="219" spans="1:19">
      <c r="A219" s="3" t="s">
        <v>786</v>
      </c>
      <c r="B219"/>
      <c r="C219"/>
      <c r="D219"/>
      <c r="E219"/>
      <c r="F219"/>
      <c r="G219"/>
      <c r="H219"/>
      <c r="I219"/>
      <c r="J219"/>
    </row>
    <row r="220" spans="1:19" ht="15.75">
      <c r="A220" s="3" t="s">
        <v>796</v>
      </c>
      <c r="B220" s="25" t="s">
        <v>169</v>
      </c>
      <c r="C220" s="25"/>
      <c r="D220" s="25"/>
      <c r="E220" s="63">
        <f>SUBTOTAL(9,E221:E222)</f>
        <v>1</v>
      </c>
      <c r="F220" s="63">
        <f>SUBTOTAL(9,F221:F222)</f>
        <v>1</v>
      </c>
      <c r="G220" s="63">
        <f>SUBTOTAL(9,G221:G222)</f>
        <v>1</v>
      </c>
      <c r="H220" s="63">
        <f>SUBTOTAL(9,H221:H222)</f>
        <v>1</v>
      </c>
      <c r="I220" s="63">
        <f>SUBTOTAL(9,I221:I222)</f>
        <v>1</v>
      </c>
      <c r="J220" s="63">
        <f t="shared" ref="J220" si="95">SUBTOTAL(9,J221:J222)</f>
        <v>1</v>
      </c>
      <c r="K220" s="63"/>
      <c r="L220" s="63"/>
      <c r="M220" s="63"/>
      <c r="N220" s="63"/>
      <c r="O220" s="63">
        <f>SUBTOTAL(9,O221:O222)</f>
        <v>1</v>
      </c>
      <c r="P220" s="63">
        <f>SUBTOTAL(9,P221:P222)</f>
        <v>1</v>
      </c>
      <c r="Q220" s="63">
        <f>SUBTOTAL(9,Q221:Q222)</f>
        <v>0</v>
      </c>
      <c r="R220" s="63">
        <f>SUBTOTAL(9,R221:R222)</f>
        <v>0</v>
      </c>
      <c r="S220" s="63">
        <f>SUBTOTAL(9,S221:S222)</f>
        <v>0</v>
      </c>
    </row>
    <row r="221" spans="1:19">
      <c r="A221" s="3" t="s">
        <v>718</v>
      </c>
      <c r="B221" s="23" t="s">
        <v>121</v>
      </c>
      <c r="C221" s="23"/>
      <c r="D221" s="23"/>
      <c r="E221" s="63">
        <f>SUBTOTAL(9,E222:E222)</f>
        <v>1</v>
      </c>
      <c r="F221" s="63">
        <f>SUBTOTAL(9,F222:F222)</f>
        <v>1</v>
      </c>
      <c r="G221" s="63">
        <f>SUBTOTAL(9,G222:G222)</f>
        <v>1</v>
      </c>
      <c r="H221" s="63">
        <f>SUBTOTAL(9,H222:H222)</f>
        <v>1</v>
      </c>
      <c r="I221" s="63">
        <f>SUBTOTAL(9,I222:I222)</f>
        <v>1</v>
      </c>
      <c r="J221" s="63">
        <f t="shared" ref="J221" si="96">SUBTOTAL(9,J222:J222)</f>
        <v>1</v>
      </c>
      <c r="K221" s="63"/>
      <c r="L221" s="63"/>
      <c r="M221" s="63"/>
      <c r="N221" s="63"/>
      <c r="O221" s="63">
        <f>SUBTOTAL(9,O222:O222)</f>
        <v>1</v>
      </c>
      <c r="P221" s="63">
        <f>SUBTOTAL(9,P222:P222)</f>
        <v>1</v>
      </c>
      <c r="Q221" s="63">
        <f>SUBTOTAL(9,Q222:Q222)</f>
        <v>0</v>
      </c>
      <c r="R221" s="63">
        <f>SUBTOTAL(9,R222:R222)</f>
        <v>0</v>
      </c>
      <c r="S221" s="63">
        <f>SUBTOTAL(9,S222:S222)</f>
        <v>0</v>
      </c>
    </row>
    <row r="222" spans="1:19">
      <c r="A222" s="3" t="s">
        <v>728</v>
      </c>
      <c r="B222" t="s">
        <v>131</v>
      </c>
      <c r="C222"/>
      <c r="D222"/>
      <c r="E222">
        <v>1</v>
      </c>
      <c r="F222">
        <v>1</v>
      </c>
      <c r="G222">
        <v>1</v>
      </c>
      <c r="H222">
        <v>1</v>
      </c>
      <c r="I222">
        <v>1</v>
      </c>
      <c r="J222">
        <v>1</v>
      </c>
      <c r="O222" s="5">
        <v>1</v>
      </c>
      <c r="P222" s="5">
        <v>1</v>
      </c>
      <c r="Q222" s="5">
        <v>0</v>
      </c>
      <c r="R222" s="5">
        <v>0</v>
      </c>
      <c r="S222" s="5">
        <v>0</v>
      </c>
    </row>
    <row r="223" spans="1:19">
      <c r="A223" s="3"/>
      <c r="B223" s="24" t="s">
        <v>693</v>
      </c>
      <c r="C223" s="24"/>
      <c r="D223" s="24"/>
      <c r="E223"/>
      <c r="F223"/>
      <c r="G223"/>
      <c r="H223"/>
      <c r="I223"/>
      <c r="J223"/>
      <c r="O223" s="5">
        <v>0</v>
      </c>
      <c r="P223" s="5">
        <v>0</v>
      </c>
      <c r="Q223" s="5">
        <v>1</v>
      </c>
      <c r="R223" s="5">
        <v>1</v>
      </c>
      <c r="S223" s="5">
        <v>1</v>
      </c>
    </row>
    <row r="224" spans="1:19">
      <c r="A224" s="3" t="s">
        <v>786</v>
      </c>
      <c r="B224"/>
      <c r="C224"/>
      <c r="D224"/>
      <c r="E224"/>
      <c r="F224"/>
      <c r="G224"/>
      <c r="H224"/>
      <c r="I224"/>
      <c r="J224"/>
    </row>
    <row r="225" spans="1:19" ht="15.75">
      <c r="A225" s="3" t="s">
        <v>797</v>
      </c>
      <c r="B225" s="25" t="s">
        <v>170</v>
      </c>
      <c r="C225" s="25"/>
      <c r="D225" s="25"/>
      <c r="E225" s="63">
        <f t="shared" ref="E225:J225" si="97">SUBTOTAL(9,E226:E236)</f>
        <v>30.3</v>
      </c>
      <c r="F225" s="63">
        <f t="shared" si="97"/>
        <v>29.3</v>
      </c>
      <c r="G225" s="63">
        <f t="shared" si="97"/>
        <v>29.3</v>
      </c>
      <c r="H225" s="63">
        <f t="shared" si="97"/>
        <v>29.3</v>
      </c>
      <c r="I225" s="63">
        <f t="shared" si="97"/>
        <v>29.3</v>
      </c>
      <c r="J225" s="63">
        <f t="shared" si="97"/>
        <v>32.299999999999997</v>
      </c>
      <c r="K225" s="63"/>
      <c r="L225" s="63"/>
      <c r="M225" s="63"/>
      <c r="N225" s="63"/>
      <c r="O225" s="63">
        <f>SUBTOTAL(9,O226:O236)</f>
        <v>34.799999999999997</v>
      </c>
      <c r="P225" s="63">
        <f>SUBTOTAL(9,P226:P236)</f>
        <v>34.799999999999997</v>
      </c>
      <c r="Q225" s="63">
        <f>SUBTOTAL(9,Q226:Q236)</f>
        <v>34.799999999999997</v>
      </c>
      <c r="R225" s="63">
        <f>SUBTOTAL(9,R226:R236)</f>
        <v>34.799999999999997</v>
      </c>
      <c r="S225" s="63">
        <f>SUBTOTAL(9,S226:S236)</f>
        <v>34.200000000000003</v>
      </c>
    </row>
    <row r="226" spans="1:19">
      <c r="A226" s="3" t="s">
        <v>715</v>
      </c>
      <c r="B226" s="23" t="s">
        <v>120</v>
      </c>
      <c r="C226" s="23"/>
      <c r="D226" s="23"/>
      <c r="E226" s="23">
        <f t="shared" ref="E226:J226" si="98">SUBTOTAL(9,E227:E228)</f>
        <v>4</v>
      </c>
      <c r="F226" s="23">
        <f t="shared" si="98"/>
        <v>4</v>
      </c>
      <c r="G226" s="23">
        <f t="shared" si="98"/>
        <v>4</v>
      </c>
      <c r="H226" s="23">
        <f t="shared" si="98"/>
        <v>4</v>
      </c>
      <c r="I226" s="23">
        <f t="shared" si="98"/>
        <v>4</v>
      </c>
      <c r="J226" s="23">
        <f t="shared" si="98"/>
        <v>5</v>
      </c>
    </row>
    <row r="227" spans="1:19">
      <c r="A227" s="3" t="s">
        <v>716</v>
      </c>
      <c r="B227" t="s">
        <v>129</v>
      </c>
      <c r="C227"/>
      <c r="D227"/>
      <c r="E227">
        <v>2</v>
      </c>
      <c r="F227">
        <v>2</v>
      </c>
      <c r="G227">
        <v>2</v>
      </c>
      <c r="H227">
        <v>2</v>
      </c>
      <c r="I227">
        <v>2</v>
      </c>
      <c r="J227">
        <v>2</v>
      </c>
      <c r="O227" s="5">
        <v>1</v>
      </c>
      <c r="P227" s="5">
        <v>1</v>
      </c>
      <c r="Q227" s="5">
        <v>1</v>
      </c>
      <c r="R227" s="5">
        <v>1</v>
      </c>
      <c r="S227" s="5">
        <v>1</v>
      </c>
    </row>
    <row r="228" spans="1:19">
      <c r="A228" s="3" t="s">
        <v>717</v>
      </c>
      <c r="B228" t="s">
        <v>130</v>
      </c>
      <c r="C228"/>
      <c r="D228"/>
      <c r="E228">
        <v>2</v>
      </c>
      <c r="F228">
        <v>2</v>
      </c>
      <c r="G228">
        <v>2</v>
      </c>
      <c r="H228">
        <v>2</v>
      </c>
      <c r="I228">
        <v>2</v>
      </c>
      <c r="J228">
        <v>3</v>
      </c>
      <c r="O228" s="5">
        <v>3</v>
      </c>
      <c r="P228" s="5">
        <v>3</v>
      </c>
      <c r="Q228" s="5">
        <v>3</v>
      </c>
      <c r="R228" s="5">
        <v>2</v>
      </c>
      <c r="S228" s="5">
        <v>2</v>
      </c>
    </row>
    <row r="229" spans="1:19">
      <c r="A229" s="3" t="s">
        <v>718</v>
      </c>
      <c r="B229" s="23" t="s">
        <v>121</v>
      </c>
      <c r="C229" s="23"/>
      <c r="D229" s="23"/>
      <c r="E229" s="63">
        <f>SUBTOTAL(9,E230:E231)</f>
        <v>9.3000000000000007</v>
      </c>
      <c r="F229" s="63">
        <f>SUBTOTAL(9,F230:F231)</f>
        <v>9.3000000000000007</v>
      </c>
      <c r="G229" s="63">
        <f>SUBTOTAL(9,G230:G231)</f>
        <v>9.3000000000000007</v>
      </c>
      <c r="H229" s="63">
        <f>SUBTOTAL(9,H230:H231)</f>
        <v>9.3000000000000007</v>
      </c>
      <c r="I229" s="63">
        <f>SUBTOTAL(9,I230:I231)</f>
        <v>9.3000000000000007</v>
      </c>
      <c r="J229" s="63">
        <f t="shared" ref="J229" si="99">SUBTOTAL(9,J230:J231)</f>
        <v>8.3000000000000007</v>
      </c>
      <c r="K229" s="63"/>
      <c r="L229" s="63"/>
      <c r="M229" s="63"/>
      <c r="N229" s="63"/>
      <c r="O229" s="63">
        <f>SUBTOTAL(9,O230:O231)</f>
        <v>8.8000000000000007</v>
      </c>
      <c r="P229" s="63">
        <f>SUBTOTAL(9,P230:P231)</f>
        <v>8.8000000000000007</v>
      </c>
      <c r="Q229" s="63">
        <f>SUBTOTAL(9,Q230:Q231)</f>
        <v>8.8000000000000007</v>
      </c>
      <c r="R229" s="63">
        <f>SUBTOTAL(9,R230:R231)</f>
        <v>7.8</v>
      </c>
      <c r="S229" s="63">
        <f>SUBTOTAL(9,S230:S231)</f>
        <v>5.8</v>
      </c>
    </row>
    <row r="230" spans="1:19">
      <c r="A230" s="3" t="s">
        <v>728</v>
      </c>
      <c r="B230" t="s">
        <v>131</v>
      </c>
      <c r="C230"/>
      <c r="D230"/>
      <c r="E230">
        <v>7.3</v>
      </c>
      <c r="F230">
        <v>7.3</v>
      </c>
      <c r="G230">
        <v>7.3</v>
      </c>
      <c r="H230">
        <v>7.3</v>
      </c>
      <c r="I230">
        <v>7.3</v>
      </c>
      <c r="J230">
        <v>6.3</v>
      </c>
      <c r="O230" s="5">
        <v>6.8</v>
      </c>
      <c r="P230" s="5">
        <v>6.8</v>
      </c>
      <c r="Q230" s="5">
        <v>6.8</v>
      </c>
      <c r="R230" s="5">
        <v>5.8</v>
      </c>
      <c r="S230" s="5">
        <v>4.8</v>
      </c>
    </row>
    <row r="231" spans="1:19">
      <c r="A231" s="3" t="s">
        <v>729</v>
      </c>
      <c r="B231" t="s">
        <v>142</v>
      </c>
      <c r="C231"/>
      <c r="D231"/>
      <c r="E231">
        <v>2</v>
      </c>
      <c r="F231">
        <v>2</v>
      </c>
      <c r="G231">
        <v>2</v>
      </c>
      <c r="H231">
        <v>2</v>
      </c>
      <c r="I231">
        <v>2</v>
      </c>
      <c r="J231">
        <v>2</v>
      </c>
      <c r="O231" s="5">
        <v>2</v>
      </c>
      <c r="P231" s="5">
        <v>2</v>
      </c>
      <c r="Q231" s="5">
        <v>2</v>
      </c>
      <c r="R231" s="5">
        <v>2</v>
      </c>
      <c r="S231" s="5">
        <v>1</v>
      </c>
    </row>
    <row r="232" spans="1:19">
      <c r="A232" s="3" t="s">
        <v>730</v>
      </c>
      <c r="B232" s="23" t="s">
        <v>122</v>
      </c>
      <c r="C232" s="23"/>
      <c r="D232" s="23"/>
      <c r="E232" s="63">
        <f>SUBTOTAL(9,E233:E233)</f>
        <v>8</v>
      </c>
      <c r="F232" s="63">
        <f>SUBTOTAL(9,F233:F233)</f>
        <v>7</v>
      </c>
      <c r="G232" s="63">
        <f>SUBTOTAL(9,G233:G233)</f>
        <v>7</v>
      </c>
      <c r="H232" s="63">
        <f>SUBTOTAL(9,H233:H233)</f>
        <v>7</v>
      </c>
      <c r="I232" s="63">
        <f>SUBTOTAL(9,I233:I233)</f>
        <v>7</v>
      </c>
      <c r="J232" s="63">
        <f t="shared" ref="J232" si="100">SUBTOTAL(9,J233:J233)</f>
        <v>7</v>
      </c>
      <c r="K232" s="63"/>
      <c r="L232" s="63"/>
      <c r="M232" s="63"/>
      <c r="N232" s="63"/>
      <c r="O232" s="63">
        <f>SUBTOTAL(9,O233:O233)</f>
        <v>8</v>
      </c>
      <c r="P232" s="63">
        <f>SUBTOTAL(9,P233:P233)</f>
        <v>8</v>
      </c>
      <c r="Q232" s="63">
        <f>SUBTOTAL(9,Q233:Q233)</f>
        <v>8</v>
      </c>
      <c r="R232" s="63">
        <f>SUBTOTAL(9,R233:R233)</f>
        <v>8.6</v>
      </c>
      <c r="S232" s="63">
        <f>SUBTOTAL(9,S233:S233)</f>
        <v>4</v>
      </c>
    </row>
    <row r="233" spans="1:19">
      <c r="A233" s="3" t="s">
        <v>731</v>
      </c>
      <c r="B233" t="s">
        <v>132</v>
      </c>
      <c r="C233"/>
      <c r="D233"/>
      <c r="E233">
        <v>8</v>
      </c>
      <c r="F233">
        <v>7</v>
      </c>
      <c r="G233">
        <v>7</v>
      </c>
      <c r="H233">
        <v>7</v>
      </c>
      <c r="I233">
        <v>7</v>
      </c>
      <c r="J233">
        <v>7</v>
      </c>
      <c r="O233" s="5">
        <v>8</v>
      </c>
      <c r="P233" s="5">
        <v>8</v>
      </c>
      <c r="Q233" s="5">
        <v>8</v>
      </c>
      <c r="R233" s="5">
        <v>8.6</v>
      </c>
      <c r="S233" s="5">
        <v>4</v>
      </c>
    </row>
    <row r="234" spans="1:19">
      <c r="A234" s="3" t="s">
        <v>770</v>
      </c>
      <c r="B234" s="23" t="s">
        <v>126</v>
      </c>
      <c r="C234" s="23"/>
      <c r="D234" s="23"/>
      <c r="E234" s="63">
        <f>SUBTOTAL(9,E235:E236)</f>
        <v>9</v>
      </c>
      <c r="F234" s="63">
        <f>SUBTOTAL(9,F235:F236)</f>
        <v>9</v>
      </c>
      <c r="G234" s="63">
        <f>SUBTOTAL(9,G235:G236)</f>
        <v>9</v>
      </c>
      <c r="H234" s="63">
        <f>SUBTOTAL(9,H235:H236)</f>
        <v>9</v>
      </c>
      <c r="I234" s="63">
        <f>SUBTOTAL(9,I235:I236)</f>
        <v>9</v>
      </c>
      <c r="J234" s="63">
        <f t="shared" ref="J234" si="101">SUBTOTAL(9,J235:J236)</f>
        <v>12</v>
      </c>
      <c r="K234" s="63"/>
      <c r="L234" s="63"/>
      <c r="M234" s="63"/>
      <c r="N234" s="63"/>
      <c r="O234" s="63">
        <f>SUBTOTAL(9,O235:O236)</f>
        <v>14</v>
      </c>
      <c r="P234" s="63">
        <f>SUBTOTAL(9,P235:P236)</f>
        <v>14</v>
      </c>
      <c r="Q234" s="63">
        <f>SUBTOTAL(9,Q235:Q236)</f>
        <v>14</v>
      </c>
      <c r="R234" s="63">
        <f>SUBTOTAL(9,R235:R236)</f>
        <v>15.4</v>
      </c>
      <c r="S234" s="63">
        <f>SUBTOTAL(9,S235:S236)</f>
        <v>21.4</v>
      </c>
    </row>
    <row r="235" spans="1:19">
      <c r="A235" s="3" t="s">
        <v>775</v>
      </c>
      <c r="B235" t="s">
        <v>133</v>
      </c>
      <c r="C235"/>
      <c r="D235"/>
      <c r="E235">
        <v>1</v>
      </c>
      <c r="F235">
        <v>1</v>
      </c>
      <c r="G235">
        <v>1</v>
      </c>
      <c r="H235">
        <v>1</v>
      </c>
      <c r="I235">
        <v>1</v>
      </c>
      <c r="J235">
        <v>2</v>
      </c>
      <c r="O235" s="5">
        <v>7</v>
      </c>
      <c r="P235" s="5">
        <v>7</v>
      </c>
      <c r="Q235" s="5">
        <v>7</v>
      </c>
      <c r="R235" s="5">
        <v>7</v>
      </c>
      <c r="S235" s="5">
        <v>21.4</v>
      </c>
    </row>
    <row r="236" spans="1:19">
      <c r="A236" s="3" t="s">
        <v>776</v>
      </c>
      <c r="B236" t="s">
        <v>134</v>
      </c>
      <c r="C236"/>
      <c r="D236"/>
      <c r="E236">
        <v>8</v>
      </c>
      <c r="F236">
        <v>8</v>
      </c>
      <c r="G236">
        <v>8</v>
      </c>
      <c r="H236">
        <v>8</v>
      </c>
      <c r="I236">
        <v>8</v>
      </c>
      <c r="J236">
        <v>10</v>
      </c>
      <c r="O236" s="5">
        <v>7</v>
      </c>
      <c r="P236" s="5">
        <v>7</v>
      </c>
      <c r="Q236" s="5">
        <v>7</v>
      </c>
      <c r="R236" s="5">
        <v>8.4</v>
      </c>
      <c r="S236" s="5">
        <v>0</v>
      </c>
    </row>
    <row r="237" spans="1:19">
      <c r="B237"/>
      <c r="C237"/>
      <c r="D237"/>
      <c r="F237"/>
      <c r="G237"/>
      <c r="H237"/>
      <c r="I237"/>
      <c r="J237"/>
    </row>
    <row r="238" spans="1:19">
      <c r="B238" s="24"/>
      <c r="C238" s="24"/>
      <c r="D238" s="24"/>
      <c r="E238"/>
      <c r="F238"/>
      <c r="G238"/>
      <c r="H238"/>
      <c r="I238"/>
      <c r="J238"/>
    </row>
    <row r="239" spans="1:19">
      <c r="B239"/>
      <c r="C239"/>
      <c r="D239"/>
      <c r="E239"/>
      <c r="F239"/>
      <c r="G239"/>
      <c r="H239"/>
      <c r="I239"/>
      <c r="J239"/>
      <c r="K239"/>
      <c r="L239"/>
      <c r="M239"/>
      <c r="N239"/>
      <c r="O239"/>
      <c r="P239"/>
      <c r="Q239"/>
      <c r="R239"/>
      <c r="S239"/>
    </row>
    <row r="240" spans="1:19">
      <c r="B240"/>
    </row>
    <row r="241" spans="2:3">
      <c r="B241"/>
    </row>
    <row r="243" spans="2:3">
      <c r="C243" s="164"/>
    </row>
  </sheetData>
  <pageMargins left="1.25" right="1.25" top="1" bottom="1" header="0.49930555555555556" footer="0.64027777777777772"/>
  <pageSetup orientation="portrait" r:id="rId1"/>
  <headerFooter alignWithMargins="0">
    <oddHeader xml:space="preserve">&amp;L&amp;"Tahoma,Bold"&amp;12 Position Detail
</oddHeader>
  </headerFooter>
</worksheet>
</file>

<file path=xl/worksheets/sheet9.xml><?xml version="1.0" encoding="utf-8"?>
<worksheet xmlns="http://schemas.openxmlformats.org/spreadsheetml/2006/main" xmlns:r="http://schemas.openxmlformats.org/officeDocument/2006/relationships">
  <sheetPr codeName="Sheet4"/>
  <dimension ref="A1:AK59"/>
  <sheetViews>
    <sheetView workbookViewId="0"/>
  </sheetViews>
  <sheetFormatPr defaultRowHeight="12.75"/>
  <cols>
    <col min="1" max="1" width="8.42578125" bestFit="1" customWidth="1"/>
    <col min="3" max="3" width="7.140625" bestFit="1" customWidth="1"/>
    <col min="4" max="4" width="10.85546875" bestFit="1" customWidth="1"/>
    <col min="5" max="5" width="8.28515625" bestFit="1" customWidth="1"/>
    <col min="26" max="26" width="9.28515625" bestFit="1" customWidth="1"/>
    <col min="27" max="27" width="9.28515625" customWidth="1"/>
  </cols>
  <sheetData>
    <row r="1" spans="1:37">
      <c r="A1" t="s">
        <v>1114</v>
      </c>
    </row>
    <row r="2" spans="1:37" ht="21">
      <c r="A2" s="81" t="s">
        <v>840</v>
      </c>
      <c r="C2" s="78" t="s">
        <v>839</v>
      </c>
      <c r="G2" s="24" t="s">
        <v>841</v>
      </c>
    </row>
    <row r="3" spans="1:37">
      <c r="B3" t="s">
        <v>968</v>
      </c>
      <c r="D3" t="s">
        <v>838</v>
      </c>
      <c r="F3" t="s">
        <v>969</v>
      </c>
      <c r="H3" t="s">
        <v>837</v>
      </c>
      <c r="J3" t="s">
        <v>836</v>
      </c>
      <c r="L3" t="s">
        <v>835</v>
      </c>
      <c r="N3" t="s">
        <v>834</v>
      </c>
      <c r="P3" t="s">
        <v>833</v>
      </c>
      <c r="R3" t="s">
        <v>832</v>
      </c>
      <c r="T3" t="s">
        <v>831</v>
      </c>
      <c r="V3" t="s">
        <v>830</v>
      </c>
      <c r="X3" t="s">
        <v>829</v>
      </c>
      <c r="AA3" t="s">
        <v>970</v>
      </c>
      <c r="AC3" s="24" t="s">
        <v>1064</v>
      </c>
      <c r="AE3" s="24" t="s">
        <v>1065</v>
      </c>
    </row>
    <row r="4" spans="1:37">
      <c r="A4" t="s">
        <v>828</v>
      </c>
      <c r="B4">
        <v>193</v>
      </c>
      <c r="D4">
        <v>195</v>
      </c>
      <c r="F4">
        <v>194</v>
      </c>
      <c r="H4">
        <v>194</v>
      </c>
      <c r="J4">
        <v>194</v>
      </c>
      <c r="L4">
        <v>194</v>
      </c>
      <c r="N4">
        <v>194</v>
      </c>
      <c r="P4">
        <v>194</v>
      </c>
      <c r="R4">
        <v>194</v>
      </c>
      <c r="T4">
        <v>194</v>
      </c>
      <c r="V4">
        <v>194</v>
      </c>
      <c r="X4">
        <v>198</v>
      </c>
      <c r="Y4" s="24" t="s">
        <v>842</v>
      </c>
      <c r="AA4">
        <v>194</v>
      </c>
      <c r="AC4">
        <v>194</v>
      </c>
      <c r="AE4">
        <v>194</v>
      </c>
    </row>
    <row r="5" spans="1:37">
      <c r="A5" t="s">
        <v>827</v>
      </c>
      <c r="C5" t="s">
        <v>826</v>
      </c>
      <c r="D5" s="74" t="s">
        <v>825</v>
      </c>
      <c r="E5" s="74" t="s">
        <v>826</v>
      </c>
      <c r="F5" s="74" t="s">
        <v>825</v>
      </c>
      <c r="G5" s="74" t="s">
        <v>826</v>
      </c>
      <c r="H5" s="74" t="s">
        <v>825</v>
      </c>
      <c r="I5" s="74" t="s">
        <v>826</v>
      </c>
      <c r="J5" s="74" t="s">
        <v>825</v>
      </c>
      <c r="K5" s="74" t="s">
        <v>826</v>
      </c>
      <c r="L5" s="74" t="s">
        <v>825</v>
      </c>
      <c r="M5" s="74" t="s">
        <v>826</v>
      </c>
      <c r="N5" s="74" t="s">
        <v>825</v>
      </c>
      <c r="O5" s="74" t="s">
        <v>826</v>
      </c>
      <c r="P5" s="74" t="s">
        <v>825</v>
      </c>
      <c r="Q5" s="74" t="s">
        <v>826</v>
      </c>
      <c r="R5" s="74" t="s">
        <v>825</v>
      </c>
      <c r="S5" s="74" t="s">
        <v>826</v>
      </c>
      <c r="T5" s="74" t="s">
        <v>825</v>
      </c>
      <c r="U5" s="74" t="s">
        <v>826</v>
      </c>
      <c r="V5" s="74" t="s">
        <v>825</v>
      </c>
      <c r="W5" s="74" t="s">
        <v>826</v>
      </c>
      <c r="X5" s="74" t="s">
        <v>825</v>
      </c>
      <c r="Y5" s="74" t="s">
        <v>825</v>
      </c>
      <c r="Z5" s="74" t="s">
        <v>826</v>
      </c>
      <c r="AA5" s="74" t="s">
        <v>825</v>
      </c>
      <c r="AB5" s="74" t="s">
        <v>826</v>
      </c>
      <c r="AC5" s="74" t="s">
        <v>825</v>
      </c>
      <c r="AD5" s="74" t="s">
        <v>826</v>
      </c>
      <c r="AE5" s="74" t="s">
        <v>825</v>
      </c>
      <c r="AF5" s="74"/>
      <c r="AG5" s="154" t="s">
        <v>1066</v>
      </c>
    </row>
    <row r="6" spans="1:37" ht="15">
      <c r="A6">
        <v>1</v>
      </c>
      <c r="B6" s="76">
        <v>39184</v>
      </c>
      <c r="C6">
        <v>0</v>
      </c>
      <c r="D6" s="76">
        <v>40382</v>
      </c>
      <c r="E6" s="74">
        <v>0</v>
      </c>
      <c r="F6" s="76">
        <v>44505</v>
      </c>
      <c r="G6" s="74">
        <v>0</v>
      </c>
      <c r="H6" s="76">
        <v>47933</v>
      </c>
      <c r="I6">
        <v>0</v>
      </c>
      <c r="J6" s="76">
        <v>47280</v>
      </c>
      <c r="K6" s="74">
        <v>0</v>
      </c>
      <c r="L6" s="76">
        <v>49239</v>
      </c>
      <c r="M6">
        <v>0</v>
      </c>
      <c r="N6" s="78">
        <v>50223</v>
      </c>
      <c r="O6">
        <v>0</v>
      </c>
      <c r="P6" s="76">
        <v>49823</v>
      </c>
      <c r="Q6">
        <v>0</v>
      </c>
      <c r="R6" s="76">
        <v>49433</v>
      </c>
      <c r="S6">
        <v>0</v>
      </c>
      <c r="T6" s="76">
        <v>49928</v>
      </c>
      <c r="U6">
        <v>0</v>
      </c>
      <c r="V6" s="76">
        <f t="shared" ref="V6:V27" si="0">T6*1.02</f>
        <v>50926.559999999998</v>
      </c>
      <c r="W6">
        <v>0</v>
      </c>
      <c r="X6" s="76">
        <v>52562</v>
      </c>
      <c r="Y6" s="76">
        <f>X6*194/X4</f>
        <v>51500.141414141413</v>
      </c>
      <c r="Z6">
        <v>0</v>
      </c>
      <c r="AA6" s="76">
        <v>52530</v>
      </c>
      <c r="AB6">
        <v>0</v>
      </c>
      <c r="AC6" s="76">
        <v>52856</v>
      </c>
      <c r="AD6">
        <v>0</v>
      </c>
      <c r="AE6" s="76"/>
      <c r="AF6" s="72"/>
      <c r="AG6" s="72"/>
      <c r="AH6" s="76"/>
      <c r="AI6" s="76"/>
      <c r="AJ6" s="43"/>
      <c r="AK6" s="43"/>
    </row>
    <row r="7" spans="1:37" ht="15">
      <c r="A7">
        <v>2</v>
      </c>
      <c r="B7" s="76">
        <v>39725</v>
      </c>
      <c r="C7">
        <v>1</v>
      </c>
      <c r="D7" s="76">
        <v>39017</v>
      </c>
      <c r="E7" s="74">
        <v>1</v>
      </c>
      <c r="F7" s="76">
        <v>45118</v>
      </c>
      <c r="G7" s="74">
        <v>1</v>
      </c>
      <c r="H7" s="76">
        <v>49003</v>
      </c>
      <c r="I7">
        <v>1</v>
      </c>
      <c r="J7" s="76">
        <v>48128</v>
      </c>
      <c r="K7" s="74">
        <v>1</v>
      </c>
      <c r="L7" s="76">
        <v>50073</v>
      </c>
      <c r="M7">
        <v>1</v>
      </c>
      <c r="N7" s="76">
        <v>51074</v>
      </c>
      <c r="O7">
        <v>1</v>
      </c>
      <c r="P7" s="78">
        <v>50223</v>
      </c>
      <c r="Q7">
        <v>1</v>
      </c>
      <c r="R7" s="76">
        <v>49823</v>
      </c>
      <c r="S7">
        <v>1</v>
      </c>
      <c r="T7" s="76">
        <v>50321</v>
      </c>
      <c r="U7">
        <v>1</v>
      </c>
      <c r="V7" s="76">
        <f t="shared" si="0"/>
        <v>51327.42</v>
      </c>
      <c r="W7">
        <v>1</v>
      </c>
      <c r="X7" s="76">
        <v>53339</v>
      </c>
      <c r="Y7" s="76">
        <f t="shared" ref="Y7:Y32" si="1">X7*194/198</f>
        <v>52261.444444444445</v>
      </c>
      <c r="Z7">
        <v>1</v>
      </c>
      <c r="AA7" s="76">
        <v>53307</v>
      </c>
      <c r="AB7">
        <v>1</v>
      </c>
      <c r="AC7" s="76">
        <v>53637</v>
      </c>
      <c r="AD7">
        <v>1</v>
      </c>
      <c r="AE7" s="76"/>
      <c r="AF7" s="46"/>
      <c r="AG7" s="46">
        <f>AA7/AA6-1</f>
        <v>1.4791547687035944E-2</v>
      </c>
      <c r="AI7" s="76"/>
      <c r="AJ7" s="43"/>
      <c r="AK7" s="43"/>
    </row>
    <row r="8" spans="1:37" ht="15">
      <c r="A8">
        <v>3</v>
      </c>
      <c r="B8" s="76">
        <v>41138</v>
      </c>
      <c r="C8">
        <v>2</v>
      </c>
      <c r="D8" s="76">
        <v>40474</v>
      </c>
      <c r="E8" s="74">
        <v>2</v>
      </c>
      <c r="F8" s="76">
        <v>46723</v>
      </c>
      <c r="G8" s="74">
        <v>2</v>
      </c>
      <c r="H8" s="76">
        <v>50451</v>
      </c>
      <c r="I8">
        <v>2</v>
      </c>
      <c r="J8" s="76">
        <v>49166</v>
      </c>
      <c r="K8" s="74">
        <v>2</v>
      </c>
      <c r="L8" s="76">
        <v>50968</v>
      </c>
      <c r="M8">
        <v>2</v>
      </c>
      <c r="N8" s="76">
        <v>51987</v>
      </c>
      <c r="O8">
        <v>2</v>
      </c>
      <c r="P8" s="76">
        <v>51074</v>
      </c>
      <c r="Q8">
        <v>2</v>
      </c>
      <c r="R8" s="78">
        <v>50223</v>
      </c>
      <c r="S8">
        <v>2</v>
      </c>
      <c r="T8" s="76">
        <v>50726</v>
      </c>
      <c r="U8">
        <v>2</v>
      </c>
      <c r="V8" s="76">
        <f t="shared" si="0"/>
        <v>51740.520000000004</v>
      </c>
      <c r="W8">
        <v>2</v>
      </c>
      <c r="X8" s="76">
        <v>54192</v>
      </c>
      <c r="Y8" s="76">
        <f t="shared" si="1"/>
        <v>53097.21212121212</v>
      </c>
      <c r="Z8">
        <v>2</v>
      </c>
      <c r="AA8" s="76">
        <v>54159</v>
      </c>
      <c r="AB8">
        <v>2</v>
      </c>
      <c r="AC8" s="76">
        <v>54495</v>
      </c>
      <c r="AD8">
        <v>2</v>
      </c>
      <c r="AE8" s="76"/>
      <c r="AF8" s="46"/>
      <c r="AG8" s="46">
        <f t="shared" ref="AG8:AG32" si="2">AA8/AA7-1</f>
        <v>1.5982891552704048E-2</v>
      </c>
      <c r="AH8" s="76"/>
      <c r="AI8" s="76"/>
      <c r="AJ8" s="43"/>
      <c r="AK8" s="43"/>
    </row>
    <row r="9" spans="1:37">
      <c r="A9">
        <v>4</v>
      </c>
      <c r="B9" s="76">
        <v>42604</v>
      </c>
      <c r="C9">
        <v>3</v>
      </c>
      <c r="D9" s="76">
        <v>41985</v>
      </c>
      <c r="E9" s="74">
        <v>3</v>
      </c>
      <c r="F9" s="76">
        <v>48389</v>
      </c>
      <c r="G9" s="74">
        <v>3</v>
      </c>
      <c r="H9" s="76">
        <v>51946</v>
      </c>
      <c r="I9">
        <v>3</v>
      </c>
      <c r="J9" s="76">
        <v>50273</v>
      </c>
      <c r="K9" s="74">
        <v>3</v>
      </c>
      <c r="L9" s="76">
        <v>51972</v>
      </c>
      <c r="M9">
        <v>3</v>
      </c>
      <c r="N9" s="76">
        <v>53011</v>
      </c>
      <c r="O9">
        <v>3</v>
      </c>
      <c r="P9" s="76">
        <v>51987</v>
      </c>
      <c r="Q9">
        <v>3</v>
      </c>
      <c r="R9" s="76">
        <v>51074</v>
      </c>
      <c r="S9">
        <v>3</v>
      </c>
      <c r="T9" s="76">
        <v>51585</v>
      </c>
      <c r="U9">
        <v>3</v>
      </c>
      <c r="V9" s="76">
        <f t="shared" si="0"/>
        <v>52616.700000000004</v>
      </c>
      <c r="W9">
        <v>3</v>
      </c>
      <c r="X9" s="76">
        <v>54619</v>
      </c>
      <c r="Y9" s="76">
        <f t="shared" si="1"/>
        <v>53515.585858585859</v>
      </c>
      <c r="Z9">
        <v>3</v>
      </c>
      <c r="AA9" s="76">
        <v>54586</v>
      </c>
      <c r="AB9">
        <v>3</v>
      </c>
      <c r="AC9" s="76">
        <v>55366</v>
      </c>
      <c r="AD9">
        <v>3</v>
      </c>
      <c r="AE9" s="76"/>
      <c r="AF9" s="46"/>
      <c r="AG9" s="46">
        <f t="shared" si="2"/>
        <v>7.8841928396018446E-3</v>
      </c>
      <c r="AH9" s="76"/>
      <c r="AI9" s="76"/>
      <c r="AJ9" s="43"/>
      <c r="AK9" s="43"/>
    </row>
    <row r="10" spans="1:37">
      <c r="A10">
        <v>5</v>
      </c>
      <c r="B10" s="76">
        <v>44132</v>
      </c>
      <c r="C10">
        <v>4</v>
      </c>
      <c r="D10" s="76">
        <v>43559</v>
      </c>
      <c r="E10" s="74">
        <v>4</v>
      </c>
      <c r="F10" s="76">
        <v>50124</v>
      </c>
      <c r="G10" s="74">
        <v>4</v>
      </c>
      <c r="H10" s="76">
        <v>53491</v>
      </c>
      <c r="I10">
        <v>4</v>
      </c>
      <c r="J10" s="76">
        <v>51771</v>
      </c>
      <c r="K10" s="74">
        <v>4</v>
      </c>
      <c r="L10" s="76">
        <v>53325</v>
      </c>
      <c r="M10">
        <v>4</v>
      </c>
      <c r="N10" s="76">
        <v>54391</v>
      </c>
      <c r="O10">
        <v>4</v>
      </c>
      <c r="P10" s="76">
        <v>53011</v>
      </c>
      <c r="Q10">
        <v>4</v>
      </c>
      <c r="R10" s="76">
        <v>51987</v>
      </c>
      <c r="S10">
        <v>4</v>
      </c>
      <c r="T10" s="76">
        <v>52507</v>
      </c>
      <c r="U10">
        <v>4</v>
      </c>
      <c r="V10" s="76">
        <f t="shared" si="0"/>
        <v>53557.14</v>
      </c>
      <c r="W10">
        <v>4</v>
      </c>
      <c r="X10" s="76">
        <v>55058</v>
      </c>
      <c r="Y10" s="76">
        <f t="shared" si="1"/>
        <v>53945.717171717173</v>
      </c>
      <c r="Z10">
        <v>4</v>
      </c>
      <c r="AA10" s="76">
        <v>55025</v>
      </c>
      <c r="AB10">
        <v>4</v>
      </c>
      <c r="AC10" s="76">
        <v>56304</v>
      </c>
      <c r="AD10">
        <v>4</v>
      </c>
      <c r="AE10" s="76"/>
      <c r="AF10" s="46"/>
      <c r="AG10" s="46">
        <f t="shared" si="2"/>
        <v>8.0423551826476203E-3</v>
      </c>
      <c r="AH10" s="76"/>
      <c r="AI10" s="76"/>
      <c r="AJ10" s="43"/>
      <c r="AK10" s="43"/>
    </row>
    <row r="11" spans="1:37">
      <c r="A11">
        <v>6</v>
      </c>
      <c r="B11" s="76">
        <v>45717</v>
      </c>
      <c r="C11">
        <v>5</v>
      </c>
      <c r="D11" s="76">
        <v>45193</v>
      </c>
      <c r="E11" s="74">
        <v>5</v>
      </c>
      <c r="F11" s="76">
        <v>51925</v>
      </c>
      <c r="G11" s="74">
        <v>5</v>
      </c>
      <c r="H11" s="76">
        <v>55087</v>
      </c>
      <c r="I11">
        <v>5</v>
      </c>
      <c r="J11" s="76">
        <v>53272</v>
      </c>
      <c r="K11" s="74">
        <v>5</v>
      </c>
      <c r="L11" s="76">
        <v>54813</v>
      </c>
      <c r="M11">
        <v>5</v>
      </c>
      <c r="N11" s="76">
        <v>55909</v>
      </c>
      <c r="O11">
        <v>5</v>
      </c>
      <c r="P11" s="76">
        <v>54391</v>
      </c>
      <c r="Q11">
        <v>5</v>
      </c>
      <c r="R11" s="76">
        <v>53011</v>
      </c>
      <c r="S11">
        <v>5</v>
      </c>
      <c r="T11" s="76">
        <v>53541</v>
      </c>
      <c r="U11">
        <v>5</v>
      </c>
      <c r="V11" s="76">
        <f t="shared" si="0"/>
        <v>54611.82</v>
      </c>
      <c r="W11">
        <v>5</v>
      </c>
      <c r="X11" s="76">
        <v>55991</v>
      </c>
      <c r="Y11" s="76">
        <f t="shared" si="1"/>
        <v>54859.868686868685</v>
      </c>
      <c r="Z11">
        <v>5</v>
      </c>
      <c r="AA11" s="76">
        <v>55957</v>
      </c>
      <c r="AB11">
        <v>5</v>
      </c>
      <c r="AC11" s="76">
        <v>57310</v>
      </c>
      <c r="AD11">
        <v>5</v>
      </c>
      <c r="AE11" s="76"/>
      <c r="AF11" s="46"/>
      <c r="AG11" s="46">
        <f t="shared" si="2"/>
        <v>1.6937755565652024E-2</v>
      </c>
      <c r="AH11" s="76"/>
      <c r="AI11" s="76"/>
      <c r="AJ11" s="43"/>
      <c r="AK11" s="43"/>
    </row>
    <row r="12" spans="1:37">
      <c r="A12">
        <v>7</v>
      </c>
      <c r="B12" s="76">
        <v>47370</v>
      </c>
      <c r="C12">
        <v>6</v>
      </c>
      <c r="D12" s="76">
        <v>46897</v>
      </c>
      <c r="E12" s="74">
        <v>6</v>
      </c>
      <c r="F12" s="76">
        <v>53802</v>
      </c>
      <c r="G12" s="74">
        <v>6</v>
      </c>
      <c r="H12" s="76">
        <v>56736</v>
      </c>
      <c r="I12">
        <v>6</v>
      </c>
      <c r="J12" s="76">
        <v>54820</v>
      </c>
      <c r="K12" s="74">
        <v>6</v>
      </c>
      <c r="L12" s="76">
        <v>56396</v>
      </c>
      <c r="M12">
        <v>6</v>
      </c>
      <c r="N12" s="76">
        <v>57524</v>
      </c>
      <c r="O12">
        <v>6</v>
      </c>
      <c r="P12" s="76">
        <v>55909</v>
      </c>
      <c r="Q12">
        <v>6</v>
      </c>
      <c r="R12" s="76">
        <v>54391</v>
      </c>
      <c r="S12">
        <v>6</v>
      </c>
      <c r="T12" s="76">
        <v>54935</v>
      </c>
      <c r="U12">
        <v>6</v>
      </c>
      <c r="V12" s="76">
        <f t="shared" si="0"/>
        <v>56033.700000000004</v>
      </c>
      <c r="W12">
        <v>6</v>
      </c>
      <c r="X12" s="76">
        <v>56991</v>
      </c>
      <c r="Y12" s="76">
        <f t="shared" si="1"/>
        <v>55839.666666666664</v>
      </c>
      <c r="Z12">
        <v>6</v>
      </c>
      <c r="AA12" s="76">
        <v>56957</v>
      </c>
      <c r="AB12">
        <v>6</v>
      </c>
      <c r="AC12" s="76">
        <v>58439</v>
      </c>
      <c r="AD12">
        <v>6</v>
      </c>
      <c r="AE12" s="76"/>
      <c r="AF12" s="46"/>
      <c r="AG12" s="46">
        <f t="shared" si="2"/>
        <v>1.7870865128580826E-2</v>
      </c>
      <c r="AH12" s="76"/>
      <c r="AI12" s="76"/>
      <c r="AJ12" s="43"/>
      <c r="AK12" s="43"/>
    </row>
    <row r="13" spans="1:37">
      <c r="A13">
        <v>8</v>
      </c>
      <c r="B13" s="76">
        <v>49088</v>
      </c>
      <c r="C13">
        <v>7</v>
      </c>
      <c r="D13" s="76">
        <v>48667</v>
      </c>
      <c r="E13" s="74">
        <v>7</v>
      </c>
      <c r="F13" s="76">
        <v>55754</v>
      </c>
      <c r="G13" s="74">
        <v>7</v>
      </c>
      <c r="H13" s="76">
        <v>58439</v>
      </c>
      <c r="I13">
        <v>7</v>
      </c>
      <c r="J13" s="76">
        <v>56418</v>
      </c>
      <c r="K13" s="74">
        <v>7</v>
      </c>
      <c r="L13" s="76">
        <v>58031</v>
      </c>
      <c r="M13">
        <v>7</v>
      </c>
      <c r="N13" s="76">
        <v>59191</v>
      </c>
      <c r="O13">
        <v>7</v>
      </c>
      <c r="P13" s="76">
        <v>57524</v>
      </c>
      <c r="Q13">
        <v>7</v>
      </c>
      <c r="R13" s="76">
        <v>55909</v>
      </c>
      <c r="S13">
        <v>7</v>
      </c>
      <c r="T13" s="76">
        <v>56468</v>
      </c>
      <c r="U13">
        <v>7</v>
      </c>
      <c r="V13" s="76">
        <f t="shared" si="0"/>
        <v>57597.36</v>
      </c>
      <c r="W13">
        <v>7</v>
      </c>
      <c r="X13" s="76">
        <v>58114</v>
      </c>
      <c r="Y13" s="76">
        <f t="shared" si="1"/>
        <v>56939.979797979795</v>
      </c>
      <c r="Z13">
        <v>7</v>
      </c>
      <c r="AA13" s="76">
        <v>58079</v>
      </c>
      <c r="AB13">
        <v>7</v>
      </c>
      <c r="AC13" s="76">
        <v>59960</v>
      </c>
      <c r="AD13">
        <v>7</v>
      </c>
      <c r="AE13" s="76"/>
      <c r="AF13" s="46"/>
      <c r="AG13" s="46">
        <f t="shared" si="2"/>
        <v>1.9699071229172915E-2</v>
      </c>
      <c r="AH13" s="76"/>
      <c r="AI13" s="76"/>
      <c r="AJ13" s="43"/>
      <c r="AK13" s="43"/>
    </row>
    <row r="14" spans="1:37" ht="15">
      <c r="A14">
        <v>9</v>
      </c>
      <c r="B14" s="76">
        <v>50875</v>
      </c>
      <c r="C14">
        <v>8</v>
      </c>
      <c r="D14" s="76">
        <v>50508</v>
      </c>
      <c r="E14" s="74">
        <v>8</v>
      </c>
      <c r="F14" s="76">
        <v>57782</v>
      </c>
      <c r="G14" s="74">
        <v>8</v>
      </c>
      <c r="H14" s="76">
        <v>60198</v>
      </c>
      <c r="I14">
        <v>8</v>
      </c>
      <c r="J14" s="76">
        <v>58067</v>
      </c>
      <c r="K14" s="74">
        <v>8</v>
      </c>
      <c r="L14" s="76">
        <v>59717</v>
      </c>
      <c r="M14">
        <v>8</v>
      </c>
      <c r="N14" s="78">
        <v>60911</v>
      </c>
      <c r="O14">
        <v>8</v>
      </c>
      <c r="P14" s="76">
        <v>59191</v>
      </c>
      <c r="Q14">
        <v>8</v>
      </c>
      <c r="R14" s="76">
        <v>57524</v>
      </c>
      <c r="S14">
        <v>8</v>
      </c>
      <c r="T14" s="76">
        <v>58099</v>
      </c>
      <c r="U14">
        <v>8</v>
      </c>
      <c r="V14" s="76">
        <f t="shared" si="0"/>
        <v>59260.98</v>
      </c>
      <c r="W14">
        <v>8</v>
      </c>
      <c r="X14" s="76">
        <v>59627</v>
      </c>
      <c r="Y14" s="76">
        <f t="shared" si="1"/>
        <v>58422.414141414141</v>
      </c>
      <c r="Z14">
        <v>8</v>
      </c>
      <c r="AA14" s="76">
        <v>59591</v>
      </c>
      <c r="AB14">
        <v>8</v>
      </c>
      <c r="AC14" s="76">
        <v>61633</v>
      </c>
      <c r="AD14">
        <v>8</v>
      </c>
      <c r="AE14" s="76"/>
      <c r="AF14" s="46"/>
      <c r="AG14" s="46">
        <f t="shared" si="2"/>
        <v>2.6033506086537317E-2</v>
      </c>
      <c r="AH14" s="76"/>
      <c r="AI14" s="76"/>
      <c r="AJ14" s="43"/>
      <c r="AK14" s="43"/>
    </row>
    <row r="15" spans="1:37" ht="15">
      <c r="A15">
        <v>10</v>
      </c>
      <c r="B15" s="76">
        <v>52546</v>
      </c>
      <c r="C15" s="74" t="s">
        <v>824</v>
      </c>
      <c r="D15" s="78">
        <v>52231</v>
      </c>
      <c r="E15" s="74">
        <v>9</v>
      </c>
      <c r="F15" s="76">
        <v>59681</v>
      </c>
      <c r="G15" s="74">
        <v>9</v>
      </c>
      <c r="H15" s="76">
        <v>62015</v>
      </c>
      <c r="I15">
        <v>9</v>
      </c>
      <c r="J15" s="76">
        <v>59769</v>
      </c>
      <c r="K15" s="74">
        <v>9</v>
      </c>
      <c r="L15" s="76">
        <v>61458</v>
      </c>
      <c r="M15">
        <v>9</v>
      </c>
      <c r="N15" s="76">
        <v>62687</v>
      </c>
      <c r="O15">
        <v>9</v>
      </c>
      <c r="P15" s="78">
        <v>60911</v>
      </c>
      <c r="Q15">
        <v>9</v>
      </c>
      <c r="R15" s="76">
        <v>59191</v>
      </c>
      <c r="S15">
        <v>9</v>
      </c>
      <c r="T15" s="76">
        <v>59783</v>
      </c>
      <c r="U15">
        <v>9</v>
      </c>
      <c r="V15" s="76">
        <f t="shared" si="0"/>
        <v>60978.66</v>
      </c>
      <c r="W15">
        <v>9</v>
      </c>
      <c r="X15" s="76">
        <v>61290</v>
      </c>
      <c r="Y15" s="76">
        <f t="shared" si="1"/>
        <v>60051.818181818184</v>
      </c>
      <c r="Z15">
        <v>9</v>
      </c>
      <c r="AA15" s="76">
        <v>61253</v>
      </c>
      <c r="AB15">
        <v>9</v>
      </c>
      <c r="AC15" s="76">
        <v>63414</v>
      </c>
      <c r="AD15">
        <v>9</v>
      </c>
      <c r="AE15" s="76"/>
      <c r="AF15" s="46"/>
      <c r="AG15" s="46">
        <f t="shared" si="2"/>
        <v>2.7890117635213318E-2</v>
      </c>
      <c r="AH15" s="76"/>
      <c r="AI15" s="76"/>
      <c r="AJ15" s="43"/>
      <c r="AK15" s="43"/>
    </row>
    <row r="16" spans="1:37" ht="15">
      <c r="A16">
        <v>11</v>
      </c>
      <c r="B16" s="76">
        <v>54279</v>
      </c>
      <c r="C16" s="74" t="s">
        <v>823</v>
      </c>
      <c r="D16" s="76">
        <v>54016</v>
      </c>
      <c r="E16" s="74" t="s">
        <v>822</v>
      </c>
      <c r="F16" s="76">
        <v>61649</v>
      </c>
      <c r="G16" s="74">
        <v>10</v>
      </c>
      <c r="H16" s="76">
        <v>63892</v>
      </c>
      <c r="I16">
        <v>10</v>
      </c>
      <c r="J16" s="76">
        <v>61581</v>
      </c>
      <c r="K16" s="74">
        <v>10</v>
      </c>
      <c r="L16" s="76">
        <v>63254</v>
      </c>
      <c r="M16">
        <v>10</v>
      </c>
      <c r="N16" s="76">
        <v>64519</v>
      </c>
      <c r="O16">
        <v>10</v>
      </c>
      <c r="P16" s="76">
        <v>62687</v>
      </c>
      <c r="Q16">
        <v>10</v>
      </c>
      <c r="R16" s="78">
        <v>60911</v>
      </c>
      <c r="S16">
        <v>10</v>
      </c>
      <c r="T16" s="76">
        <v>61520</v>
      </c>
      <c r="U16">
        <v>10</v>
      </c>
      <c r="V16" s="76">
        <f t="shared" si="0"/>
        <v>62750.400000000001</v>
      </c>
      <c r="W16">
        <v>10</v>
      </c>
      <c r="X16" s="76">
        <v>63061</v>
      </c>
      <c r="Y16" s="76">
        <f t="shared" si="1"/>
        <v>61787.040404040403</v>
      </c>
      <c r="Z16">
        <v>10</v>
      </c>
      <c r="AA16" s="76">
        <v>63023</v>
      </c>
      <c r="AB16">
        <v>10</v>
      </c>
      <c r="AC16" s="76">
        <v>65252</v>
      </c>
      <c r="AD16">
        <v>10</v>
      </c>
      <c r="AE16" s="76"/>
      <c r="AF16" s="46"/>
      <c r="AG16" s="46">
        <f t="shared" si="2"/>
        <v>2.8896543842750644E-2</v>
      </c>
      <c r="AH16" s="76"/>
      <c r="AI16" s="76"/>
      <c r="AJ16" s="43"/>
      <c r="AK16" s="43"/>
    </row>
    <row r="17" spans="1:37">
      <c r="A17">
        <v>12</v>
      </c>
      <c r="B17" s="76">
        <v>56073</v>
      </c>
      <c r="C17">
        <v>14</v>
      </c>
      <c r="D17" s="76">
        <v>55865</v>
      </c>
      <c r="E17" s="74" t="s">
        <v>821</v>
      </c>
      <c r="F17" s="76">
        <v>63687</v>
      </c>
      <c r="G17" s="74" t="s">
        <v>820</v>
      </c>
      <c r="H17" s="76">
        <v>65831</v>
      </c>
      <c r="I17">
        <v>11</v>
      </c>
      <c r="J17" s="76">
        <v>63395</v>
      </c>
      <c r="K17" s="74">
        <v>11</v>
      </c>
      <c r="L17" s="76">
        <v>65107</v>
      </c>
      <c r="M17">
        <v>11</v>
      </c>
      <c r="N17" s="76">
        <v>66409</v>
      </c>
      <c r="O17">
        <v>11</v>
      </c>
      <c r="P17" s="76">
        <v>64519</v>
      </c>
      <c r="Q17">
        <v>11</v>
      </c>
      <c r="R17" s="76">
        <v>62687</v>
      </c>
      <c r="S17">
        <v>11</v>
      </c>
      <c r="T17" s="76">
        <v>63314</v>
      </c>
      <c r="U17">
        <v>11</v>
      </c>
      <c r="V17" s="76">
        <f t="shared" si="0"/>
        <v>64580.28</v>
      </c>
      <c r="W17">
        <v>11</v>
      </c>
      <c r="X17" s="76">
        <v>64889</v>
      </c>
      <c r="Y17" s="76">
        <f t="shared" si="1"/>
        <v>63578.111111111109</v>
      </c>
      <c r="Z17">
        <v>11</v>
      </c>
      <c r="AA17" s="76">
        <v>64850</v>
      </c>
      <c r="AB17">
        <v>11</v>
      </c>
      <c r="AC17" s="76">
        <v>67148</v>
      </c>
      <c r="AD17">
        <v>11</v>
      </c>
      <c r="AE17" s="76"/>
      <c r="AF17" s="46"/>
      <c r="AG17" s="46">
        <f t="shared" si="2"/>
        <v>2.8989416562207548E-2</v>
      </c>
      <c r="AH17" s="76"/>
      <c r="AI17" s="76"/>
      <c r="AJ17" s="43"/>
      <c r="AK17" s="43"/>
    </row>
    <row r="18" spans="1:37">
      <c r="A18">
        <v>13</v>
      </c>
      <c r="B18" s="76">
        <v>57932</v>
      </c>
      <c r="C18">
        <v>15</v>
      </c>
      <c r="D18" s="76">
        <v>57781</v>
      </c>
      <c r="E18" s="74">
        <v>15</v>
      </c>
      <c r="F18" s="76">
        <v>65798</v>
      </c>
      <c r="G18" s="74" t="s">
        <v>817</v>
      </c>
      <c r="H18" s="76">
        <v>67773</v>
      </c>
      <c r="I18" t="s">
        <v>819</v>
      </c>
      <c r="J18" s="76">
        <v>65268</v>
      </c>
      <c r="K18" s="74">
        <v>12</v>
      </c>
      <c r="L18" s="76">
        <v>67020</v>
      </c>
      <c r="M18">
        <v>12</v>
      </c>
      <c r="N18" s="76">
        <v>68360</v>
      </c>
      <c r="O18">
        <v>12</v>
      </c>
      <c r="P18" s="76">
        <v>66409</v>
      </c>
      <c r="Q18">
        <v>12</v>
      </c>
      <c r="R18" s="76">
        <v>64519</v>
      </c>
      <c r="S18">
        <v>12</v>
      </c>
      <c r="T18" s="76">
        <v>65164</v>
      </c>
      <c r="U18">
        <v>12</v>
      </c>
      <c r="V18" s="76">
        <f t="shared" si="0"/>
        <v>66467.28</v>
      </c>
      <c r="W18">
        <v>12</v>
      </c>
      <c r="X18" s="76">
        <v>66774</v>
      </c>
      <c r="Y18" s="76">
        <f t="shared" si="1"/>
        <v>65425.030303030304</v>
      </c>
      <c r="Z18">
        <v>12</v>
      </c>
      <c r="AA18" s="76">
        <v>66734</v>
      </c>
      <c r="AB18">
        <v>12</v>
      </c>
      <c r="AC18" s="76">
        <v>69105</v>
      </c>
      <c r="AD18">
        <v>12</v>
      </c>
      <c r="AE18" s="76"/>
      <c r="AF18" s="46"/>
      <c r="AG18" s="46">
        <f t="shared" si="2"/>
        <v>2.9051657671549824E-2</v>
      </c>
      <c r="AH18" s="76"/>
      <c r="AI18" s="76"/>
      <c r="AJ18" s="43"/>
      <c r="AK18" s="43"/>
    </row>
    <row r="19" spans="1:37">
      <c r="A19">
        <v>14</v>
      </c>
      <c r="B19" s="76">
        <v>59644</v>
      </c>
      <c r="C19" s="76"/>
      <c r="D19" s="76">
        <v>59545</v>
      </c>
      <c r="E19" s="76"/>
      <c r="F19" s="76">
        <v>67742</v>
      </c>
      <c r="H19" s="76">
        <v>69778</v>
      </c>
      <c r="I19">
        <v>15</v>
      </c>
      <c r="J19" s="76">
        <v>67200</v>
      </c>
      <c r="K19" s="74" t="s">
        <v>818</v>
      </c>
      <c r="L19" s="76">
        <v>68994</v>
      </c>
      <c r="M19">
        <v>13</v>
      </c>
      <c r="N19" s="76">
        <v>70373</v>
      </c>
      <c r="O19">
        <v>13</v>
      </c>
      <c r="P19" s="76">
        <v>68360</v>
      </c>
      <c r="Q19">
        <v>13</v>
      </c>
      <c r="R19" s="76">
        <v>66409</v>
      </c>
      <c r="S19">
        <v>13</v>
      </c>
      <c r="T19" s="76">
        <v>67073</v>
      </c>
      <c r="U19">
        <v>13</v>
      </c>
      <c r="V19" s="76">
        <f t="shared" si="0"/>
        <v>68414.460000000006</v>
      </c>
      <c r="W19">
        <v>13</v>
      </c>
      <c r="X19" s="76">
        <v>68721</v>
      </c>
      <c r="Y19" s="76">
        <f t="shared" si="1"/>
        <v>67332.696969696975</v>
      </c>
      <c r="Z19">
        <v>13</v>
      </c>
      <c r="AA19" s="76">
        <v>68679</v>
      </c>
      <c r="AB19">
        <v>13</v>
      </c>
      <c r="AC19" s="76">
        <v>71125</v>
      </c>
      <c r="AD19">
        <v>13</v>
      </c>
      <c r="AE19" s="76"/>
      <c r="AF19" s="46"/>
      <c r="AG19" s="46">
        <f t="shared" si="2"/>
        <v>2.9145562981388817E-2</v>
      </c>
      <c r="AH19" s="76"/>
      <c r="AI19" s="76"/>
      <c r="AJ19" s="43"/>
      <c r="AK19" s="43"/>
    </row>
    <row r="20" spans="1:37">
      <c r="A20">
        <v>15</v>
      </c>
      <c r="B20" s="76">
        <v>61410</v>
      </c>
      <c r="C20" s="76"/>
      <c r="D20" s="76">
        <v>61366</v>
      </c>
      <c r="E20" s="76"/>
      <c r="F20" s="76">
        <v>69749</v>
      </c>
      <c r="H20" s="76">
        <v>71846</v>
      </c>
      <c r="J20" s="76">
        <v>69194</v>
      </c>
      <c r="L20" s="76">
        <v>71031</v>
      </c>
      <c r="M20" t="s">
        <v>817</v>
      </c>
      <c r="N20" s="76">
        <v>72451</v>
      </c>
      <c r="O20">
        <v>14</v>
      </c>
      <c r="P20" s="76">
        <v>70373</v>
      </c>
      <c r="Q20">
        <v>14</v>
      </c>
      <c r="R20" s="76">
        <v>68360</v>
      </c>
      <c r="S20">
        <v>14</v>
      </c>
      <c r="T20" s="76">
        <v>69044</v>
      </c>
      <c r="U20">
        <v>14</v>
      </c>
      <c r="V20" s="76">
        <f t="shared" si="0"/>
        <v>70424.88</v>
      </c>
      <c r="W20">
        <v>14</v>
      </c>
      <c r="X20" s="76">
        <v>70729</v>
      </c>
      <c r="Y20" s="76">
        <f t="shared" si="1"/>
        <v>69300.131313131307</v>
      </c>
      <c r="Z20">
        <v>14</v>
      </c>
      <c r="AA20" s="76">
        <v>70687</v>
      </c>
      <c r="AB20">
        <v>14</v>
      </c>
      <c r="AC20" s="76">
        <v>73208</v>
      </c>
      <c r="AD20">
        <v>14</v>
      </c>
      <c r="AE20" s="76"/>
      <c r="AF20" s="46"/>
      <c r="AG20" s="46">
        <f t="shared" si="2"/>
        <v>2.9237467056887789E-2</v>
      </c>
      <c r="AH20" s="76"/>
      <c r="AI20" s="76"/>
      <c r="AJ20" s="43"/>
      <c r="AK20" s="43"/>
    </row>
    <row r="21" spans="1:37">
      <c r="A21">
        <v>16</v>
      </c>
      <c r="B21" s="76">
        <v>63234</v>
      </c>
      <c r="C21" s="76"/>
      <c r="D21" s="76">
        <v>63245</v>
      </c>
      <c r="E21" s="76"/>
      <c r="F21" s="76">
        <v>71820</v>
      </c>
      <c r="H21" s="76">
        <v>73981</v>
      </c>
      <c r="J21" s="76">
        <v>71252</v>
      </c>
      <c r="L21" s="76">
        <v>73134</v>
      </c>
      <c r="N21" s="76">
        <v>74596</v>
      </c>
      <c r="O21">
        <v>15</v>
      </c>
      <c r="P21" s="76">
        <v>72451</v>
      </c>
      <c r="Q21">
        <v>15</v>
      </c>
      <c r="R21" s="76">
        <v>70373</v>
      </c>
      <c r="S21">
        <v>15</v>
      </c>
      <c r="T21" s="76">
        <v>71077</v>
      </c>
      <c r="U21">
        <v>15</v>
      </c>
      <c r="V21" s="76">
        <f t="shared" si="0"/>
        <v>72498.540000000008</v>
      </c>
      <c r="W21">
        <v>15</v>
      </c>
      <c r="X21" s="76">
        <v>72801</v>
      </c>
      <c r="Y21" s="76">
        <f t="shared" si="1"/>
        <v>71330.272727272721</v>
      </c>
      <c r="Z21">
        <v>15</v>
      </c>
      <c r="AA21" s="76">
        <v>72757</v>
      </c>
      <c r="AB21">
        <v>15</v>
      </c>
      <c r="AC21" s="76">
        <v>75359</v>
      </c>
      <c r="AD21">
        <v>15</v>
      </c>
      <c r="AE21" s="76"/>
      <c r="AF21" s="46"/>
      <c r="AG21" s="46">
        <f t="shared" si="2"/>
        <v>2.9284026765883375E-2</v>
      </c>
      <c r="AH21" s="76"/>
      <c r="AI21" s="76"/>
      <c r="AJ21" s="43"/>
      <c r="AK21" s="43"/>
    </row>
    <row r="22" spans="1:37">
      <c r="A22">
        <v>17</v>
      </c>
      <c r="B22" s="76">
        <v>65115</v>
      </c>
      <c r="C22" s="76"/>
      <c r="D22" s="76">
        <v>65184</v>
      </c>
      <c r="E22" s="76"/>
      <c r="F22" s="76">
        <v>73957</v>
      </c>
      <c r="H22" s="76">
        <v>76184</v>
      </c>
      <c r="J22" s="76">
        <v>73376</v>
      </c>
      <c r="L22" s="76">
        <v>75303</v>
      </c>
      <c r="N22" s="76">
        <v>76809</v>
      </c>
      <c r="P22" s="76">
        <v>74596</v>
      </c>
      <c r="R22" s="76">
        <v>72451</v>
      </c>
      <c r="S22" s="76"/>
      <c r="T22" s="76">
        <v>73176</v>
      </c>
      <c r="U22">
        <v>16</v>
      </c>
      <c r="V22" s="76">
        <f t="shared" si="0"/>
        <v>74639.520000000004</v>
      </c>
      <c r="W22">
        <v>16</v>
      </c>
      <c r="X22" s="76">
        <v>74940</v>
      </c>
      <c r="Y22" s="76">
        <f t="shared" si="1"/>
        <v>73426.060606060608</v>
      </c>
      <c r="Z22">
        <v>16</v>
      </c>
      <c r="AA22" s="76">
        <v>74895</v>
      </c>
      <c r="AB22">
        <v>16</v>
      </c>
      <c r="AC22" s="76">
        <v>77579</v>
      </c>
      <c r="AD22">
        <v>16</v>
      </c>
      <c r="AE22" s="76"/>
      <c r="AF22" s="46"/>
      <c r="AG22" s="46">
        <f t="shared" si="2"/>
        <v>2.9385488681501482E-2</v>
      </c>
      <c r="AH22" s="76"/>
      <c r="AI22" s="76"/>
      <c r="AJ22" s="76"/>
      <c r="AK22" s="76"/>
    </row>
    <row r="23" spans="1:37">
      <c r="A23">
        <v>18</v>
      </c>
      <c r="B23" s="76">
        <v>67057</v>
      </c>
      <c r="C23" s="76"/>
      <c r="D23" s="76">
        <v>67185</v>
      </c>
      <c r="E23" s="76"/>
      <c r="F23" s="76">
        <v>76163</v>
      </c>
      <c r="H23" s="76">
        <v>78458</v>
      </c>
      <c r="J23" s="76">
        <v>75568</v>
      </c>
      <c r="L23" s="76">
        <v>77543</v>
      </c>
      <c r="N23" s="76">
        <v>79093</v>
      </c>
      <c r="P23" s="76">
        <v>76809</v>
      </c>
      <c r="R23" s="76">
        <v>74596</v>
      </c>
      <c r="S23" s="76"/>
      <c r="T23" s="76">
        <v>75342</v>
      </c>
      <c r="U23">
        <v>17</v>
      </c>
      <c r="V23" s="76">
        <f t="shared" si="0"/>
        <v>76848.84</v>
      </c>
      <c r="W23">
        <v>17</v>
      </c>
      <c r="X23" s="76">
        <v>77147</v>
      </c>
      <c r="Y23" s="76">
        <f t="shared" si="1"/>
        <v>75588.474747474742</v>
      </c>
      <c r="Z23">
        <v>17</v>
      </c>
      <c r="AA23" s="76">
        <v>77101</v>
      </c>
      <c r="AB23">
        <v>17</v>
      </c>
      <c r="AC23" s="76">
        <v>79869</v>
      </c>
      <c r="AD23">
        <v>17</v>
      </c>
      <c r="AE23" s="76"/>
      <c r="AF23" s="46"/>
      <c r="AG23" s="46">
        <f t="shared" si="2"/>
        <v>2.9454569730956726E-2</v>
      </c>
      <c r="AH23" s="76"/>
      <c r="AI23" s="76"/>
      <c r="AJ23" s="76"/>
      <c r="AK23" s="76"/>
    </row>
    <row r="24" spans="1:37">
      <c r="A24">
        <v>19</v>
      </c>
      <c r="B24" s="76">
        <v>69061</v>
      </c>
      <c r="C24" s="76"/>
      <c r="D24" s="76">
        <v>69251</v>
      </c>
      <c r="E24" s="76"/>
      <c r="F24" s="76">
        <v>78438</v>
      </c>
      <c r="H24" s="76">
        <v>80804</v>
      </c>
      <c r="J24" s="76">
        <v>77830</v>
      </c>
      <c r="L24" s="76">
        <v>79854</v>
      </c>
      <c r="N24" s="76">
        <v>81451</v>
      </c>
      <c r="P24" s="76">
        <v>79093</v>
      </c>
      <c r="R24" s="76">
        <v>76809</v>
      </c>
      <c r="S24" s="76"/>
      <c r="T24" s="76">
        <v>77577</v>
      </c>
      <c r="U24">
        <v>18</v>
      </c>
      <c r="V24" s="76">
        <f t="shared" si="0"/>
        <v>79128.540000000008</v>
      </c>
      <c r="W24">
        <v>18</v>
      </c>
      <c r="X24" s="76">
        <v>79425</v>
      </c>
      <c r="Y24" s="76">
        <f t="shared" si="1"/>
        <v>77820.454545454544</v>
      </c>
      <c r="Z24">
        <v>18</v>
      </c>
      <c r="AA24" s="76">
        <v>79377</v>
      </c>
      <c r="AB24">
        <v>18</v>
      </c>
      <c r="AC24" s="76">
        <v>82234</v>
      </c>
      <c r="AD24">
        <v>18</v>
      </c>
      <c r="AE24" s="76"/>
      <c r="AF24" s="46"/>
      <c r="AG24" s="46">
        <f t="shared" si="2"/>
        <v>2.9519720885591516E-2</v>
      </c>
      <c r="AH24" s="76"/>
      <c r="AI24" s="76"/>
      <c r="AJ24" s="76"/>
      <c r="AK24" s="76"/>
    </row>
    <row r="25" spans="1:37" ht="15">
      <c r="A25">
        <v>20</v>
      </c>
      <c r="B25" s="76">
        <v>71129</v>
      </c>
      <c r="C25" s="76"/>
      <c r="D25" s="76">
        <v>71382</v>
      </c>
      <c r="E25" s="76"/>
      <c r="F25" s="76">
        <v>80787</v>
      </c>
      <c r="H25" s="76">
        <v>83226</v>
      </c>
      <c r="J25" s="76">
        <v>80165</v>
      </c>
      <c r="L25" s="76">
        <v>82249</v>
      </c>
      <c r="N25" s="78">
        <v>83894</v>
      </c>
      <c r="P25" s="76">
        <v>81451</v>
      </c>
      <c r="R25" s="76">
        <v>79093</v>
      </c>
      <c r="S25" s="76"/>
      <c r="T25" s="76">
        <v>79884</v>
      </c>
      <c r="U25">
        <v>19</v>
      </c>
      <c r="V25" s="76">
        <f t="shared" si="0"/>
        <v>81481.680000000008</v>
      </c>
      <c r="W25">
        <v>19</v>
      </c>
      <c r="X25" s="76">
        <v>81777</v>
      </c>
      <c r="Y25" s="76">
        <f t="shared" si="1"/>
        <v>80124.939393939392</v>
      </c>
      <c r="Z25">
        <v>19</v>
      </c>
      <c r="AA25" s="76">
        <v>81728</v>
      </c>
      <c r="AB25">
        <v>19</v>
      </c>
      <c r="AC25" s="76">
        <v>84673</v>
      </c>
      <c r="AD25">
        <v>19</v>
      </c>
      <c r="AE25" s="76"/>
      <c r="AF25" s="46"/>
      <c r="AG25" s="46">
        <f t="shared" si="2"/>
        <v>2.9618151353666633E-2</v>
      </c>
      <c r="AH25" s="76"/>
      <c r="AI25" s="76"/>
      <c r="AJ25" s="76"/>
      <c r="AK25" s="76"/>
    </row>
    <row r="26" spans="1:37" ht="15">
      <c r="A26">
        <v>21</v>
      </c>
      <c r="B26" s="76"/>
      <c r="C26" s="76"/>
      <c r="D26" s="76"/>
      <c r="E26" s="76"/>
      <c r="F26" s="76"/>
      <c r="H26" s="76"/>
      <c r="J26" s="76"/>
      <c r="L26" s="76"/>
      <c r="N26" s="76"/>
      <c r="P26" s="78">
        <v>83894</v>
      </c>
      <c r="R26" s="76">
        <v>81451</v>
      </c>
      <c r="S26" s="76"/>
      <c r="T26" s="76">
        <v>82265</v>
      </c>
      <c r="U26">
        <v>20</v>
      </c>
      <c r="V26" s="76">
        <f t="shared" si="0"/>
        <v>83910.3</v>
      </c>
      <c r="W26">
        <v>20</v>
      </c>
      <c r="X26" s="76">
        <v>84202</v>
      </c>
      <c r="Y26" s="76">
        <f t="shared" si="1"/>
        <v>82500.949494949498</v>
      </c>
      <c r="Z26">
        <v>20</v>
      </c>
      <c r="AA26" s="76">
        <v>84151</v>
      </c>
      <c r="AB26">
        <v>20</v>
      </c>
      <c r="AC26" s="76">
        <v>87192</v>
      </c>
      <c r="AD26">
        <v>20</v>
      </c>
      <c r="AE26" s="76"/>
      <c r="AF26" s="46"/>
      <c r="AG26" s="46">
        <f t="shared" si="2"/>
        <v>2.9647122161315487E-2</v>
      </c>
      <c r="AH26" s="76"/>
      <c r="AI26" s="76"/>
      <c r="AJ26" s="76"/>
      <c r="AK26" s="76"/>
    </row>
    <row r="27" spans="1:37" ht="15">
      <c r="A27">
        <v>22</v>
      </c>
      <c r="B27" s="76"/>
      <c r="C27" s="76"/>
      <c r="D27" s="76"/>
      <c r="E27" s="76"/>
      <c r="F27" s="76"/>
      <c r="H27" s="76"/>
      <c r="J27" s="76"/>
      <c r="L27" s="76"/>
      <c r="N27" s="76"/>
      <c r="P27" s="76"/>
      <c r="R27" s="78">
        <v>83894</v>
      </c>
      <c r="S27" s="76"/>
      <c r="T27" s="76">
        <v>84733</v>
      </c>
      <c r="U27">
        <v>21</v>
      </c>
      <c r="V27" s="76">
        <f t="shared" si="0"/>
        <v>86427.66</v>
      </c>
      <c r="W27">
        <v>21</v>
      </c>
      <c r="X27" s="76">
        <v>86707</v>
      </c>
      <c r="Y27" s="76">
        <f t="shared" si="1"/>
        <v>84955.343434343435</v>
      </c>
      <c r="Z27">
        <v>21</v>
      </c>
      <c r="AA27" s="76">
        <v>86654</v>
      </c>
      <c r="AB27">
        <v>21</v>
      </c>
      <c r="AC27" s="76">
        <v>89790</v>
      </c>
      <c r="AD27">
        <v>21</v>
      </c>
      <c r="AE27" s="76"/>
      <c r="AF27" s="46"/>
      <c r="AG27" s="46">
        <f t="shared" si="2"/>
        <v>2.9744150396311397E-2</v>
      </c>
      <c r="AH27" s="76"/>
      <c r="AI27" s="43"/>
      <c r="AJ27" s="76"/>
      <c r="AK27" s="76"/>
    </row>
    <row r="28" spans="1:37" ht="15">
      <c r="B28" s="76"/>
      <c r="C28" s="76"/>
      <c r="D28" s="76"/>
      <c r="E28" s="76"/>
      <c r="F28" s="76"/>
      <c r="H28" s="76"/>
      <c r="J28" s="76"/>
      <c r="L28" s="76"/>
      <c r="N28" s="76"/>
      <c r="P28" s="76"/>
      <c r="R28" s="78"/>
      <c r="S28" s="76"/>
      <c r="T28" s="76"/>
      <c r="V28" s="76"/>
      <c r="W28">
        <v>22</v>
      </c>
      <c r="X28" s="76">
        <v>89291</v>
      </c>
      <c r="Y28" s="76">
        <f t="shared" si="1"/>
        <v>87487.141414141413</v>
      </c>
      <c r="Z28">
        <v>22</v>
      </c>
      <c r="AA28" s="76">
        <v>89237</v>
      </c>
      <c r="AB28">
        <v>22</v>
      </c>
      <c r="AC28" s="76">
        <v>92484</v>
      </c>
      <c r="AD28">
        <v>22</v>
      </c>
      <c r="AE28" s="76"/>
      <c r="AF28" s="46"/>
      <c r="AG28" s="46">
        <f t="shared" si="2"/>
        <v>2.9808202737323208E-2</v>
      </c>
      <c r="AH28" s="76"/>
      <c r="AI28" s="43"/>
      <c r="AJ28" s="76"/>
      <c r="AK28" s="76"/>
    </row>
    <row r="29" spans="1:37" ht="15">
      <c r="B29" s="76"/>
      <c r="C29" s="76"/>
      <c r="D29" s="76"/>
      <c r="E29" s="76"/>
      <c r="F29" s="76"/>
      <c r="H29" s="76"/>
      <c r="J29" s="76"/>
      <c r="L29" s="76"/>
      <c r="N29" s="76"/>
      <c r="P29" s="76"/>
      <c r="R29" s="78"/>
      <c r="S29" s="76"/>
      <c r="T29" s="76"/>
      <c r="V29" s="48">
        <f>(V10/J6)^(1/6)-1</f>
        <v>2.0994301669575499E-2</v>
      </c>
      <c r="W29">
        <v>23</v>
      </c>
      <c r="X29" s="76">
        <v>91969</v>
      </c>
      <c r="Y29" s="76">
        <f t="shared" si="1"/>
        <v>90111.04040404041</v>
      </c>
      <c r="Z29">
        <v>23</v>
      </c>
      <c r="AA29" s="76">
        <v>91914</v>
      </c>
      <c r="AB29">
        <v>23</v>
      </c>
      <c r="AC29" s="76">
        <v>94218</v>
      </c>
      <c r="AD29">
        <v>23</v>
      </c>
      <c r="AE29" s="76"/>
      <c r="AF29" s="46"/>
      <c r="AG29" s="46">
        <f t="shared" si="2"/>
        <v>2.9998767327453768E-2</v>
      </c>
      <c r="AH29" s="76"/>
      <c r="AI29" s="43"/>
      <c r="AJ29" s="76"/>
      <c r="AK29" s="76"/>
    </row>
    <row r="30" spans="1:37" ht="15">
      <c r="B30" s="76"/>
      <c r="C30" s="76"/>
      <c r="D30" s="76"/>
      <c r="E30" s="76"/>
      <c r="F30" s="76"/>
      <c r="H30" s="76"/>
      <c r="J30" s="76"/>
      <c r="L30" s="76"/>
      <c r="N30" s="76"/>
      <c r="P30" s="76"/>
      <c r="R30" s="78"/>
      <c r="S30" s="76"/>
      <c r="T30" s="76"/>
      <c r="V30" s="48">
        <f t="shared" ref="V30:V31" si="3">(V13/J7)^(1/6)-1</f>
        <v>3.0388003944038733E-2</v>
      </c>
      <c r="W30">
        <v>25</v>
      </c>
      <c r="X30" s="76">
        <v>93694</v>
      </c>
      <c r="Y30" s="76">
        <f t="shared" si="1"/>
        <v>91801.191919191915</v>
      </c>
      <c r="Z30">
        <v>25</v>
      </c>
      <c r="AA30" s="76">
        <v>93637</v>
      </c>
      <c r="AB30">
        <v>25</v>
      </c>
      <c r="AC30" s="76">
        <v>95986</v>
      </c>
      <c r="AD30">
        <v>25</v>
      </c>
      <c r="AE30" s="76"/>
      <c r="AF30" s="46"/>
      <c r="AG30" s="46">
        <f t="shared" si="2"/>
        <v>1.8745784102530694E-2</v>
      </c>
      <c r="AH30" s="76"/>
      <c r="AI30" s="43"/>
      <c r="AJ30" s="76"/>
      <c r="AK30" s="76"/>
    </row>
    <row r="31" spans="1:37" ht="15">
      <c r="B31" s="76"/>
      <c r="C31" s="76"/>
      <c r="D31" s="76"/>
      <c r="E31" s="76"/>
      <c r="F31" s="76"/>
      <c r="H31" s="76"/>
      <c r="J31" s="76"/>
      <c r="L31" s="76"/>
      <c r="N31" s="76"/>
      <c r="P31" s="76"/>
      <c r="R31" s="78"/>
      <c r="S31" s="76"/>
      <c r="T31" s="76"/>
      <c r="V31" s="48">
        <f t="shared" si="3"/>
        <v>3.1614232989483071E-2</v>
      </c>
      <c r="W31">
        <v>27</v>
      </c>
      <c r="X31" s="76">
        <v>95452</v>
      </c>
      <c r="Y31" s="76">
        <f t="shared" si="1"/>
        <v>93523.676767676763</v>
      </c>
      <c r="Z31">
        <v>27</v>
      </c>
      <c r="AA31" s="76">
        <v>95395</v>
      </c>
      <c r="AB31">
        <v>27</v>
      </c>
      <c r="AC31" s="76">
        <v>97791</v>
      </c>
      <c r="AD31">
        <v>27</v>
      </c>
      <c r="AE31" s="76"/>
      <c r="AF31" s="46"/>
      <c r="AG31" s="46">
        <f t="shared" si="2"/>
        <v>1.8774629686982625E-2</v>
      </c>
      <c r="AH31" s="76"/>
      <c r="AI31" s="43"/>
      <c r="AJ31" s="76"/>
      <c r="AK31" s="76"/>
    </row>
    <row r="32" spans="1:37" ht="15">
      <c r="B32" s="76"/>
      <c r="C32" s="76"/>
      <c r="D32" s="76"/>
      <c r="E32" s="76"/>
      <c r="F32" s="76"/>
      <c r="H32" s="76"/>
      <c r="J32" s="76"/>
      <c r="L32" s="76"/>
      <c r="N32" s="76"/>
      <c r="P32" s="76"/>
      <c r="R32" s="78"/>
      <c r="S32" s="76"/>
      <c r="T32" s="76"/>
      <c r="V32" s="76"/>
      <c r="W32">
        <v>29</v>
      </c>
      <c r="X32" s="76">
        <v>97247</v>
      </c>
      <c r="Y32" s="76">
        <f t="shared" si="1"/>
        <v>95282.414141414149</v>
      </c>
      <c r="Z32">
        <v>29</v>
      </c>
      <c r="AA32" s="76">
        <v>97188</v>
      </c>
      <c r="AB32">
        <v>29</v>
      </c>
      <c r="AC32" s="76"/>
      <c r="AD32">
        <v>29</v>
      </c>
      <c r="AE32" s="76"/>
      <c r="AF32" s="46"/>
      <c r="AG32" s="46">
        <f t="shared" si="2"/>
        <v>1.8795534357146648E-2</v>
      </c>
      <c r="AH32" s="76"/>
      <c r="AI32" s="43"/>
      <c r="AJ32" s="76"/>
      <c r="AK32" s="76"/>
    </row>
    <row r="33" spans="1:37">
      <c r="A33" s="80" t="s">
        <v>816</v>
      </c>
      <c r="B33" s="79">
        <f>AVERAGE(B23:B27)</f>
        <v>69082.333333333328</v>
      </c>
      <c r="C33" s="79"/>
      <c r="D33" s="79">
        <f>AVERAGE(D23:D27)</f>
        <v>69272.666666666672</v>
      </c>
      <c r="E33" s="79"/>
      <c r="F33" s="79">
        <f>AVERAGE(F23:F27)</f>
        <v>78462.666666666672</v>
      </c>
      <c r="G33" s="80"/>
      <c r="H33" s="79">
        <f>AVERAGE(H23:H27)</f>
        <v>80829.333333333328</v>
      </c>
      <c r="I33" s="80"/>
      <c r="J33" s="79">
        <f>AVERAGE(J23:J27)</f>
        <v>77854.333333333328</v>
      </c>
      <c r="K33" s="80"/>
      <c r="L33" s="79">
        <f>AVERAGE(L23:L27)</f>
        <v>79882</v>
      </c>
      <c r="M33" s="80"/>
      <c r="N33" s="79">
        <f>AVERAGE(N23:N27)</f>
        <v>81479.333333333328</v>
      </c>
      <c r="O33" s="80"/>
      <c r="P33" s="79">
        <f>AVERAGE(P23:P27)</f>
        <v>80311.75</v>
      </c>
      <c r="Q33" s="80"/>
      <c r="R33" s="79">
        <f>AVERAGE(R23:R27)</f>
        <v>79168.600000000006</v>
      </c>
      <c r="S33" s="79"/>
      <c r="T33" s="79">
        <f>AVERAGE(T23:T27)</f>
        <v>79960.2</v>
      </c>
      <c r="U33" s="79"/>
      <c r="V33" s="79">
        <f>AVERAGE(V23:V27)</f>
        <v>81559.40400000001</v>
      </c>
      <c r="W33" s="80"/>
      <c r="X33" s="79">
        <f>AVERAGE(X26:X30)</f>
        <v>89172.6</v>
      </c>
      <c r="Y33" s="79">
        <f>AVERAGE(Y26:Y30)</f>
        <v>87371.133333333331</v>
      </c>
      <c r="AA33" s="79">
        <f>AVERAGE(AA26:AA30)</f>
        <v>89118.6</v>
      </c>
      <c r="AB33" s="76"/>
      <c r="AC33" s="76"/>
      <c r="AD33" s="76"/>
      <c r="AE33" s="76"/>
      <c r="AF33" s="46"/>
      <c r="AG33" s="76"/>
      <c r="AH33" s="76"/>
      <c r="AI33" s="43"/>
      <c r="AJ33" s="76"/>
      <c r="AK33" s="76"/>
    </row>
    <row r="34" spans="1:37">
      <c r="A34" t="s">
        <v>815</v>
      </c>
      <c r="B34" s="76">
        <f>AVERAGE(B6:B27)</f>
        <v>53865.65</v>
      </c>
      <c r="C34" s="76"/>
      <c r="D34" s="76">
        <f>AVERAGE(D6:D27)</f>
        <v>53686.65</v>
      </c>
      <c r="E34" s="76"/>
      <c r="F34" s="76">
        <f>AVERAGE(F6:F27)</f>
        <v>61179.65</v>
      </c>
      <c r="H34" s="76">
        <f>AVERAGE(H6:H27)</f>
        <v>63853.599999999999</v>
      </c>
      <c r="J34" s="76">
        <f>AVERAGE(J6:J27)</f>
        <v>61689.65</v>
      </c>
      <c r="L34" s="76">
        <f>AVERAGE(L6:L27)</f>
        <v>63474.05</v>
      </c>
      <c r="N34" s="76">
        <f>AVERAGE(N6:N27)</f>
        <v>64743.15</v>
      </c>
      <c r="P34" s="76">
        <f>AVERAGE(P6:P27)</f>
        <v>64032.666666666664</v>
      </c>
      <c r="R34" s="76">
        <f>AVERAGE(R6:R27)</f>
        <v>63369.045454545456</v>
      </c>
      <c r="S34" s="76"/>
      <c r="T34" s="76">
        <f>AVERAGE(T6:T27)</f>
        <v>64002.818181818184</v>
      </c>
      <c r="U34" s="76"/>
      <c r="V34" s="76">
        <f>AVERAGE(V6:V27)</f>
        <v>65282.874545454542</v>
      </c>
      <c r="X34" s="76">
        <f>AVERAGE(X8:X29)</f>
        <v>69468.863636363632</v>
      </c>
      <c r="Y34" s="76">
        <f>AVERAGE(Y8:Y29)</f>
        <v>68065.452249770446</v>
      </c>
      <c r="AA34" s="76">
        <f>AVERAGE(AA8:AA29)</f>
        <v>69427</v>
      </c>
      <c r="AB34" s="76"/>
      <c r="AC34" s="76"/>
      <c r="AD34" s="76"/>
      <c r="AE34" s="76"/>
      <c r="AF34" s="76"/>
      <c r="AG34" s="76"/>
      <c r="AH34" s="76"/>
      <c r="AI34" s="43"/>
      <c r="AJ34" s="76"/>
      <c r="AK34" s="76"/>
    </row>
    <row r="35" spans="1:37">
      <c r="A35" t="s">
        <v>967</v>
      </c>
      <c r="B35" s="72">
        <f>B33/B34</f>
        <v>1.282493264879071</v>
      </c>
      <c r="C35" s="76"/>
      <c r="D35" s="72">
        <f>D33/D34</f>
        <v>1.2903145692023374</v>
      </c>
      <c r="E35" s="76"/>
      <c r="F35" s="72">
        <f>F33/F34</f>
        <v>1.2824961677071816</v>
      </c>
      <c r="H35" s="72">
        <f>H33/H34</f>
        <v>1.2658539742995434</v>
      </c>
      <c r="J35" s="72">
        <f>J33/J34</f>
        <v>1.2620323398387465</v>
      </c>
      <c r="L35" s="72">
        <f>L33/L34</f>
        <v>1.2584985517703691</v>
      </c>
      <c r="N35" s="72">
        <f>N33/N34</f>
        <v>1.2585012211073037</v>
      </c>
      <c r="P35" s="72">
        <f>P33/P34</f>
        <v>1.2542309133879583</v>
      </c>
      <c r="R35" s="72">
        <f>R33/R34</f>
        <v>1.2493260618354676</v>
      </c>
      <c r="S35" s="76"/>
      <c r="T35" s="72">
        <f>T33/T34</f>
        <v>1.2493231121925028</v>
      </c>
      <c r="U35" s="76"/>
      <c r="V35" s="72">
        <f>V33/V34</f>
        <v>1.249323112192503</v>
      </c>
      <c r="X35" s="72">
        <f>X33/X34</f>
        <v>1.283634067584235</v>
      </c>
      <c r="Y35" s="72">
        <f>Y33/Y34</f>
        <v>1.2836340675842346</v>
      </c>
      <c r="AA35" s="72">
        <f>AA33/AA34</f>
        <v>1.2836302879283277</v>
      </c>
      <c r="AB35" s="76"/>
      <c r="AC35" s="76"/>
      <c r="AD35" s="76"/>
      <c r="AE35" s="76"/>
      <c r="AF35" s="76"/>
      <c r="AG35" s="76"/>
      <c r="AH35" s="76"/>
      <c r="AI35" s="43"/>
      <c r="AJ35" s="76"/>
      <c r="AK35" s="76"/>
    </row>
    <row r="36" spans="1:37">
      <c r="C36" s="76"/>
      <c r="D36" s="76"/>
      <c r="E36" s="76"/>
      <c r="F36" s="76"/>
      <c r="H36" s="76"/>
      <c r="J36" s="76"/>
      <c r="L36" s="76"/>
      <c r="N36" s="76"/>
      <c r="P36" s="76"/>
      <c r="R36" s="76"/>
      <c r="S36" s="76"/>
      <c r="T36" s="76"/>
      <c r="U36" s="76"/>
      <c r="V36" s="76"/>
      <c r="AA36" s="76"/>
      <c r="AB36" s="76"/>
      <c r="AC36" s="76"/>
      <c r="AD36" s="76"/>
      <c r="AE36" s="76"/>
      <c r="AF36" s="76"/>
      <c r="AG36" s="76"/>
      <c r="AH36" s="76"/>
      <c r="AI36" s="43"/>
      <c r="AJ36" s="76"/>
      <c r="AK36" s="76"/>
    </row>
    <row r="37" spans="1:37" ht="15">
      <c r="B37" s="76"/>
      <c r="C37" s="76"/>
      <c r="D37" s="78" t="s">
        <v>814</v>
      </c>
      <c r="E37" s="76"/>
      <c r="F37" s="76"/>
      <c r="H37" s="76"/>
      <c r="J37" s="76"/>
      <c r="L37" s="76"/>
      <c r="N37" s="76"/>
      <c r="P37" s="76"/>
      <c r="AA37" s="76"/>
      <c r="AB37" s="76"/>
      <c r="AC37" s="76"/>
      <c r="AD37" s="76"/>
      <c r="AE37" s="76"/>
    </row>
    <row r="38" spans="1:37">
      <c r="D38" s="39" t="s">
        <v>972</v>
      </c>
      <c r="E38" s="39"/>
      <c r="F38" s="39"/>
    </row>
    <row r="39" spans="1:37">
      <c r="D39" s="55"/>
      <c r="E39" s="55"/>
      <c r="F39" s="55"/>
    </row>
    <row r="40" spans="1:37">
      <c r="C40">
        <v>2000</v>
      </c>
      <c r="E40" s="76"/>
      <c r="F40" s="76"/>
    </row>
    <row r="41" spans="1:37">
      <c r="C41">
        <f t="shared" ref="C41:C52" si="4">C40+1</f>
        <v>2001</v>
      </c>
      <c r="D41" s="76"/>
      <c r="E41" s="76"/>
      <c r="F41" s="76"/>
    </row>
    <row r="42" spans="1:37">
      <c r="C42">
        <f t="shared" si="4"/>
        <v>2002</v>
      </c>
      <c r="D42" s="76"/>
      <c r="E42" s="76"/>
      <c r="F42" s="76"/>
    </row>
    <row r="43" spans="1:37">
      <c r="B43">
        <v>0</v>
      </c>
      <c r="C43">
        <f t="shared" si="4"/>
        <v>2003</v>
      </c>
      <c r="D43" s="76">
        <f>B6</f>
        <v>39184</v>
      </c>
      <c r="E43" s="76"/>
      <c r="F43" s="76"/>
    </row>
    <row r="44" spans="1:37" ht="15">
      <c r="B44">
        <v>1</v>
      </c>
      <c r="C44">
        <f t="shared" si="4"/>
        <v>2004</v>
      </c>
      <c r="D44" s="76">
        <f>D7</f>
        <v>39017</v>
      </c>
      <c r="E44" s="78"/>
      <c r="F44" s="76"/>
    </row>
    <row r="45" spans="1:37">
      <c r="B45">
        <v>2</v>
      </c>
      <c r="C45">
        <f t="shared" si="4"/>
        <v>2005</v>
      </c>
      <c r="D45" s="76">
        <f>F8</f>
        <v>46723</v>
      </c>
      <c r="E45" s="76"/>
      <c r="F45" s="76"/>
    </row>
    <row r="46" spans="1:37">
      <c r="B46">
        <v>3</v>
      </c>
      <c r="C46">
        <f t="shared" si="4"/>
        <v>2006</v>
      </c>
      <c r="D46" s="76">
        <f>H9</f>
        <v>51946</v>
      </c>
      <c r="E46" s="76"/>
      <c r="F46" s="76"/>
    </row>
    <row r="47" spans="1:37">
      <c r="B47">
        <v>4</v>
      </c>
      <c r="C47">
        <f t="shared" si="4"/>
        <v>2007</v>
      </c>
      <c r="D47" s="76">
        <f>J10</f>
        <v>51771</v>
      </c>
      <c r="E47" s="76"/>
      <c r="F47" s="76"/>
    </row>
    <row r="48" spans="1:37">
      <c r="B48">
        <v>5</v>
      </c>
      <c r="C48">
        <f t="shared" si="4"/>
        <v>2008</v>
      </c>
      <c r="D48" s="76">
        <f>L11</f>
        <v>54813</v>
      </c>
      <c r="E48" s="76"/>
      <c r="F48" s="76"/>
    </row>
    <row r="49" spans="2:6">
      <c r="B49">
        <v>6</v>
      </c>
      <c r="C49">
        <f t="shared" si="4"/>
        <v>2009</v>
      </c>
      <c r="D49" s="76">
        <f>N12</f>
        <v>57524</v>
      </c>
      <c r="E49" s="76"/>
      <c r="F49" s="76"/>
    </row>
    <row r="50" spans="2:6">
      <c r="B50">
        <v>7</v>
      </c>
      <c r="C50">
        <f t="shared" si="4"/>
        <v>2010</v>
      </c>
      <c r="D50" s="76">
        <f>P13</f>
        <v>57524</v>
      </c>
      <c r="E50" s="76"/>
      <c r="F50" s="76"/>
    </row>
    <row r="51" spans="2:6">
      <c r="B51">
        <v>8</v>
      </c>
      <c r="C51">
        <f t="shared" si="4"/>
        <v>2011</v>
      </c>
      <c r="D51" s="76">
        <f>R14</f>
        <v>57524</v>
      </c>
      <c r="E51" s="77"/>
      <c r="F51" s="76"/>
    </row>
    <row r="52" spans="2:6">
      <c r="B52">
        <v>9</v>
      </c>
      <c r="C52">
        <f t="shared" si="4"/>
        <v>2012</v>
      </c>
      <c r="D52" s="76">
        <f>T15</f>
        <v>59783</v>
      </c>
      <c r="E52" s="76"/>
      <c r="F52" s="76"/>
    </row>
    <row r="53" spans="2:6">
      <c r="B53">
        <v>10</v>
      </c>
      <c r="C53">
        <v>2013</v>
      </c>
      <c r="D53" s="76">
        <f>V16</f>
        <v>62750.400000000001</v>
      </c>
      <c r="E53" s="76"/>
      <c r="F53" s="76"/>
    </row>
    <row r="54" spans="2:6">
      <c r="B54">
        <v>11</v>
      </c>
      <c r="C54">
        <v>2014</v>
      </c>
      <c r="D54" s="76">
        <f>Y17</f>
        <v>63578.111111111109</v>
      </c>
      <c r="E54" s="76"/>
      <c r="F54" s="76"/>
    </row>
    <row r="55" spans="2:6">
      <c r="B55">
        <v>12</v>
      </c>
      <c r="C55">
        <v>2015</v>
      </c>
      <c r="D55" s="76">
        <f>AA18</f>
        <v>66734</v>
      </c>
      <c r="E55" s="76"/>
      <c r="F55" s="76"/>
    </row>
    <row r="56" spans="2:6" ht="15">
      <c r="B56">
        <v>13</v>
      </c>
      <c r="C56">
        <v>2016</v>
      </c>
      <c r="D56" s="76">
        <f>AC19</f>
        <v>71125</v>
      </c>
      <c r="E56" s="75"/>
      <c r="F56" s="75"/>
    </row>
    <row r="57" spans="2:6">
      <c r="B57">
        <v>14</v>
      </c>
      <c r="C57">
        <v>2017</v>
      </c>
      <c r="E57" s="48"/>
      <c r="F57" s="48"/>
    </row>
    <row r="58" spans="2:6" ht="15">
      <c r="C58" s="74" t="s">
        <v>813</v>
      </c>
      <c r="D58" s="75">
        <f>(D56/$D$43)^(1/B56)-1</f>
        <v>4.6927057059400479E-2</v>
      </c>
    </row>
    <row r="59" spans="2:6">
      <c r="C59" s="74" t="s">
        <v>973</v>
      </c>
      <c r="D59" s="48">
        <f>D56/$D$43-1</f>
        <v>0.81515414454879553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Sources</vt:lpstr>
      <vt:lpstr>Graphs</vt:lpstr>
      <vt:lpstr>Comparisons</vt:lpstr>
      <vt:lpstr>Derived data</vt:lpstr>
      <vt:lpstr>Budget summary</vt:lpstr>
      <vt:lpstr>Expenditure detail</vt:lpstr>
      <vt:lpstr>Revenue detail</vt:lpstr>
      <vt:lpstr>Positions</vt:lpstr>
      <vt:lpstr>Teacher pay scales</vt:lpstr>
      <vt:lpstr>Vs other districts</vt:lpstr>
      <vt:lpstr>Class sizes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Costello</dc:creator>
  <cp:lastModifiedBy>FACostello</cp:lastModifiedBy>
  <cp:lastPrinted>2013-12-22T20:18:39Z</cp:lastPrinted>
  <dcterms:created xsi:type="dcterms:W3CDTF">2011-01-03T20:20:25Z</dcterms:created>
  <dcterms:modified xsi:type="dcterms:W3CDTF">2016-02-26T22:00:00Z</dcterms:modified>
</cp:coreProperties>
</file>